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225" windowWidth="25440" windowHeight="15390" activeTab="0"/>
  </bookViews>
  <sheets>
    <sheet name="Eligibility Check" sheetId="5" r:id="rId1"/>
    <sheet name="Distance" sheetId="3" r:id="rId2"/>
  </sheets>
  <externalReferences>
    <externalReference r:id="rId5"/>
  </externalReferences>
  <definedNames>
    <definedName name="Product">'[1]Lists'!$A$2:$A$22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<sst xmlns="http://schemas.openxmlformats.org/spreadsheetml/2006/main" count="138" uniqueCount="77">
  <si>
    <t>100 Mile House</t>
  </si>
  <si>
    <t>Alert Bay</t>
  </si>
  <si>
    <t>Bella Bella</t>
  </si>
  <si>
    <t>Bella Coola</t>
  </si>
  <si>
    <t>Chemainus</t>
  </si>
  <si>
    <t>Cranbrook</t>
  </si>
  <si>
    <t>Creston</t>
  </si>
  <si>
    <t>Duncan</t>
  </si>
  <si>
    <t>Gibsons</t>
  </si>
  <si>
    <t>Golden</t>
  </si>
  <si>
    <t>Grand Forks</t>
  </si>
  <si>
    <t>Hazelton</t>
  </si>
  <si>
    <t>Hope</t>
  </si>
  <si>
    <t>Inuvik</t>
  </si>
  <si>
    <t>Invermere</t>
  </si>
  <si>
    <t>Lillooet</t>
  </si>
  <si>
    <t>Maple Ridge</t>
  </si>
  <si>
    <t>Masset</t>
  </si>
  <si>
    <t>Nelson</t>
  </si>
  <si>
    <t>Osoyoos</t>
  </si>
  <si>
    <t>Port McNeill</t>
  </si>
  <si>
    <t>Powell River</t>
  </si>
  <si>
    <t>Queen Charlotte</t>
  </si>
  <si>
    <t>Quesnel</t>
  </si>
  <si>
    <t>Revelstoke</t>
  </si>
  <si>
    <t>Salmon Arm</t>
  </si>
  <si>
    <t>Salt Spring Island</t>
  </si>
  <si>
    <t>Sechelt</t>
  </si>
  <si>
    <t>Sooke</t>
  </si>
  <si>
    <t>Squamish</t>
  </si>
  <si>
    <t>Tofino</t>
  </si>
  <si>
    <t>UBC - Okanagan Campus</t>
  </si>
  <si>
    <t>UBC - Vancouver Campus</t>
  </si>
  <si>
    <t>Vanderhoof</t>
  </si>
  <si>
    <t>City</t>
  </si>
  <si>
    <t xml:space="preserve">Vancouver </t>
  </si>
  <si>
    <t xml:space="preserve">Abbotsford </t>
  </si>
  <si>
    <t xml:space="preserve">Burnaby </t>
  </si>
  <si>
    <t xml:space="preserve">Chilliwack </t>
  </si>
  <si>
    <t xml:space="preserve">Cowichan </t>
  </si>
  <si>
    <t xml:space="preserve">Fort St. John </t>
  </si>
  <si>
    <t xml:space="preserve">Kelowna </t>
  </si>
  <si>
    <t xml:space="preserve">Kootenay Boundary </t>
  </si>
  <si>
    <t xml:space="preserve">Victoria </t>
  </si>
  <si>
    <t xml:space="preserve">Vernon </t>
  </si>
  <si>
    <t xml:space="preserve">Terrace </t>
  </si>
  <si>
    <t xml:space="preserve">Surrey </t>
  </si>
  <si>
    <t xml:space="preserve">Richmond </t>
  </si>
  <si>
    <t>Comox Valley</t>
  </si>
  <si>
    <t>Campbell River &amp; District</t>
  </si>
  <si>
    <t xml:space="preserve">Nanaimo </t>
  </si>
  <si>
    <t xml:space="preserve">Langley </t>
  </si>
  <si>
    <t>Dawson Creek</t>
  </si>
  <si>
    <t>Smithers</t>
  </si>
  <si>
    <t>Mackenzie</t>
  </si>
  <si>
    <t>Prince George</t>
  </si>
  <si>
    <t>Williams Lake</t>
  </si>
  <si>
    <t>Kootenay Boundary (Trail/Nelson)</t>
  </si>
  <si>
    <t>North Vancouver</t>
  </si>
  <si>
    <t>Burnaby</t>
  </si>
  <si>
    <t xml:space="preserve">Dawson Creek </t>
  </si>
  <si>
    <t xml:space="preserve"> Comox Valley</t>
  </si>
  <si>
    <t>White Rock</t>
  </si>
  <si>
    <t xml:space="preserve">Penticton </t>
  </si>
  <si>
    <t>Victoria</t>
  </si>
  <si>
    <t>Vernon</t>
  </si>
  <si>
    <t>Richmond</t>
  </si>
  <si>
    <t>Kamloops</t>
  </si>
  <si>
    <t>William Lake</t>
  </si>
  <si>
    <t>From</t>
  </si>
  <si>
    <t>To</t>
  </si>
  <si>
    <t xml:space="preserve">Max </t>
  </si>
  <si>
    <t>Total mileage(KM)</t>
  </si>
  <si>
    <r>
      <rPr>
        <sz val="11"/>
        <color rgb="FFFF0000"/>
        <rFont val="Calibri"/>
        <family val="2"/>
        <scheme val="minor"/>
      </rPr>
      <t>Mandatory rotation</t>
    </r>
    <r>
      <rPr>
        <sz val="11"/>
        <color theme="1"/>
        <rFont val="Calibri"/>
        <family val="2"/>
        <scheme val="minor"/>
      </rPr>
      <t xml:space="preserve"> tranportation maxiumn reimbursement </t>
    </r>
  </si>
  <si>
    <r>
      <rPr>
        <sz val="11"/>
        <color rgb="FFFF0000"/>
        <rFont val="Calibri"/>
        <family val="2"/>
        <scheme val="minor"/>
      </rPr>
      <t>Academic Half Day</t>
    </r>
    <r>
      <rPr>
        <sz val="11"/>
        <color theme="1"/>
        <rFont val="Calibri"/>
        <family val="2"/>
        <scheme val="minor"/>
      </rPr>
      <t xml:space="preserve"> maxiumn reimbursement (Accmodation &amp;Transportation)</t>
    </r>
  </si>
  <si>
    <t>Last updated April 15,2020</t>
  </si>
  <si>
    <t>* Pick a city from the drop-down list "From" &amp;"To"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</si>
</sst>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/>
    <xf numFmtId="0" fontId="2" fillId="2" borderId="0" xfId="0" applyFont="1" applyFill="1"/>
    <xf numFmtId="0" fontId="2" fillId="3" borderId="1" xfId="0" applyFont="1" applyFill="1" applyBorder="1" applyAlignment="1">
      <alignment horizontal="center" textRotation="45"/>
    </xf>
    <xf numFmtId="0" fontId="2" fillId="3" borderId="2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" xfId="0" applyBorder="1" applyProtection="1">
      <protection/>
    </xf>
    <xf numFmtId="0" fontId="0" fillId="0" borderId="0" xfId="0" applyBorder="1" applyAlignment="1">
      <alignment wrapText="1"/>
    </xf>
    <xf numFmtId="0" fontId="4" fillId="0" borderId="1" xfId="0" applyFont="1" applyBorder="1" applyProtection="1">
      <protection locked="0"/>
    </xf>
    <xf numFmtId="0" fontId="0" fillId="4" borderId="1" xfId="0" applyFill="1" applyBorder="1" applyProtection="1">
      <protection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10 10 2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9%20-%20Finance\02%20-%20Resident%20Reimbursement\BCIRPA%20Reimbursement%20Claims-Family%20Practice\Family%20Practice%20Reimbursement-Master%20Tracking%20Sheet\BCIRPA%20Claims%20-%20Family%20Practice%20-%20Master%20Sheet%20FY19-20%20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IR vendors"/>
      <sheetName val="AHD Count"/>
      <sheetName val="BCIRPA Claims"/>
      <sheetName val="Lease FY19-20"/>
      <sheetName val="Damage-Security Deposit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Mandatory Rotation</v>
          </cell>
        </row>
        <row r="3">
          <cell r="A3" t="str">
            <v>Community Rotation</v>
          </cell>
        </row>
        <row r="4">
          <cell r="A4" t="str">
            <v>Academic Half Day</v>
          </cell>
        </row>
        <row r="5">
          <cell r="A5" t="str">
            <v>Course - ATLS</v>
          </cell>
        </row>
        <row r="6">
          <cell r="A6" t="str">
            <v>Course - ACLS</v>
          </cell>
        </row>
        <row r="7">
          <cell r="A7" t="str">
            <v>Course - BLS</v>
          </cell>
        </row>
        <row r="8">
          <cell r="A8" t="str">
            <v>Course - ACLS/BLS</v>
          </cell>
        </row>
        <row r="9">
          <cell r="A9" t="str">
            <v>Course - ATLS/BLS</v>
          </cell>
        </row>
        <row r="10">
          <cell r="A10" t="str">
            <v>Course - ATLS/ACLS</v>
          </cell>
        </row>
        <row r="11">
          <cell r="A11" t="str">
            <v>Course - PALS</v>
          </cell>
        </row>
        <row r="12">
          <cell r="A12" t="str">
            <v>Course- PALS/BLS</v>
          </cell>
        </row>
        <row r="13">
          <cell r="A13" t="str">
            <v>Course - ACLS/PALS</v>
          </cell>
        </row>
        <row r="14">
          <cell r="A14" t="str">
            <v>Course - NRP</v>
          </cell>
        </row>
        <row r="15">
          <cell r="A15" t="str">
            <v>Course -ACLS/NRP</v>
          </cell>
        </row>
        <row r="16">
          <cell r="A16" t="str">
            <v>Course - Essential Surgical Skills</v>
          </cell>
        </row>
        <row r="17">
          <cell r="A17" t="str">
            <v>Course-EDE Ultrasound</v>
          </cell>
        </row>
        <row r="18">
          <cell r="A18" t="str">
            <v>Course-CARE</v>
          </cell>
        </row>
        <row r="19">
          <cell r="A19" t="str">
            <v>Course-ALARM</v>
          </cell>
        </row>
        <row r="20">
          <cell r="A20" t="str">
            <v>Course- VARIOUS</v>
          </cell>
        </row>
        <row r="21">
          <cell r="A21" t="str">
            <v>Callback</v>
          </cell>
        </row>
        <row r="22">
          <cell r="A22" t="str">
            <v>Daily Commuting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A43CA-DF9B-4B56-831C-CA7C090FA44F}">
  <dimension ref="A2:C19"/>
  <sheetViews>
    <sheetView tabSelected="1" workbookViewId="0" topLeftCell="A1">
      <selection activeCell="E7" sqref="E7"/>
    </sheetView>
  </sheetViews>
  <sheetFormatPr defaultColWidth="9.140625" defaultRowHeight="15"/>
  <cols>
    <col min="1" max="1" width="17.57421875" style="0" bestFit="1" customWidth="1"/>
    <col min="2" max="2" width="24.8515625" style="0" customWidth="1"/>
    <col min="3" max="3" width="8.140625" style="0" customWidth="1"/>
    <col min="7" max="7" width="14.421875" style="0" bestFit="1" customWidth="1"/>
  </cols>
  <sheetData>
    <row r="2" spans="1:2" ht="15" customHeight="1">
      <c r="A2" s="15" t="s">
        <v>73</v>
      </c>
      <c r="B2" s="15"/>
    </row>
    <row r="3" spans="1:2" ht="15">
      <c r="A3" s="15"/>
      <c r="B3" s="15"/>
    </row>
    <row r="4" spans="1:3" ht="15">
      <c r="A4" s="8" t="s">
        <v>69</v>
      </c>
      <c r="B4" s="12" t="s">
        <v>36</v>
      </c>
      <c r="C4" s="9"/>
    </row>
    <row r="5" spans="1:2" ht="15">
      <c r="A5" s="8" t="s">
        <v>70</v>
      </c>
      <c r="B5" s="12" t="s">
        <v>45</v>
      </c>
    </row>
    <row r="6" spans="1:2" ht="21" customHeight="1">
      <c r="A6" s="10" t="s">
        <v>72</v>
      </c>
      <c r="B6" s="10">
        <f>VLOOKUP(B5,Distance!A2:BI61,MATCH(B4,Distance!A1:BI1,0),0)</f>
        <v>1283</v>
      </c>
    </row>
    <row r="7" spans="1:2" ht="18.75" customHeight="1">
      <c r="A7" s="10" t="s">
        <v>71</v>
      </c>
      <c r="B7" s="13" t="str">
        <f>_XLFN.IFS(B6&gt;=700,"Eligible for up to max $1,000",B6&lt;=700,"Eligible for up to max $700")</f>
        <v>Eligible for up to max $1,000</v>
      </c>
    </row>
    <row r="8" spans="1:3" ht="18.75" customHeight="1">
      <c r="A8" s="16" t="s">
        <v>76</v>
      </c>
      <c r="B8" s="17"/>
      <c r="C8" s="11"/>
    </row>
    <row r="9" spans="1:3" ht="15">
      <c r="A9" s="18"/>
      <c r="B9" s="19"/>
      <c r="C9" s="11"/>
    </row>
    <row r="11" spans="1:2" ht="15">
      <c r="A11" s="15" t="s">
        <v>74</v>
      </c>
      <c r="B11" s="15"/>
    </row>
    <row r="12" spans="1:2" ht="30" customHeight="1">
      <c r="A12" s="15"/>
      <c r="B12" s="15"/>
    </row>
    <row r="13" spans="1:2" ht="15">
      <c r="A13" s="8" t="s">
        <v>69</v>
      </c>
      <c r="B13" s="12" t="s">
        <v>35</v>
      </c>
    </row>
    <row r="14" spans="1:2" ht="15">
      <c r="A14" s="8" t="s">
        <v>70</v>
      </c>
      <c r="B14" s="12" t="s">
        <v>37</v>
      </c>
    </row>
    <row r="15" spans="1:2" ht="15">
      <c r="A15" s="10" t="s">
        <v>72</v>
      </c>
      <c r="B15" s="10">
        <f>VLOOKUP(B14,Distance!A2:BI61,MATCH(B13,Distance!A1:BI1,0),0)</f>
        <v>9</v>
      </c>
    </row>
    <row r="16" spans="1:2" ht="19.5" customHeight="1">
      <c r="A16" s="10" t="s">
        <v>71</v>
      </c>
      <c r="B16" s="13" t="str">
        <f>_XLFN.IFS(B15&gt;=700,"Eligible for up to max $750",B15&lt;=700,"Eligible for up to max $650")</f>
        <v>Eligible for up to max $650</v>
      </c>
    </row>
    <row r="17" spans="1:3" ht="14.5" customHeight="1">
      <c r="A17" s="16" t="s">
        <v>76</v>
      </c>
      <c r="B17" s="17"/>
      <c r="C17" s="11"/>
    </row>
    <row r="18" spans="1:3" ht="15">
      <c r="A18" s="18"/>
      <c r="B18" s="19"/>
      <c r="C18" s="11"/>
    </row>
    <row r="19" spans="1:2" ht="15">
      <c r="A19" s="14" t="s">
        <v>75</v>
      </c>
      <c r="B19" s="14"/>
    </row>
  </sheetData>
  <sheetProtection algorithmName="SHA-512" hashValue="fEpMigKoGyRfhKDne7HKvC1i6+S7qNGbAxT3lCnWfsY+Z+GvWm7tMNZSrKQdldGgQLP4nkNAZ1lObxvxXd4/Lw==" saltValue="CUOkekh3YWJFh7SIyLdNTQ==" spinCount="100000" sheet="1" objects="1" scenarios="1"/>
  <protectedRanges>
    <protectedRange sqref="A15:B16" name="Range2"/>
    <protectedRange sqref="A6:B7" name="Range1"/>
  </protectedRanges>
  <mergeCells count="5">
    <mergeCell ref="A19:B19"/>
    <mergeCell ref="A2:B3"/>
    <mergeCell ref="A11:B12"/>
    <mergeCell ref="A8:B9"/>
    <mergeCell ref="A17:B18"/>
  </mergeCells>
  <dataValidations count="2">
    <dataValidation type="list" allowBlank="1" showInputMessage="1" showErrorMessage="1" sqref="B5 B14">
      <formula1>Distance!$A$2:$A$61</formula1>
    </dataValidation>
    <dataValidation type="list" allowBlank="1" showInputMessage="1" showErrorMessage="1" sqref="B4 B13">
      <formula1>Distance!$B$1:$BI$1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AB081-7714-4681-9901-E226CF04642F}">
  <sheetPr>
    <pageSetUpPr fitToPage="1"/>
  </sheetPr>
  <dimension ref="A1:BI61"/>
  <sheetViews>
    <sheetView workbookViewId="0" topLeftCell="A1">
      <selection activeCell="L5" sqref="L5"/>
    </sheetView>
  </sheetViews>
  <sheetFormatPr defaultColWidth="9.140625" defaultRowHeight="15"/>
  <cols>
    <col min="1" max="1" width="31.7109375" style="0" customWidth="1"/>
    <col min="2" max="63" width="7.421875" style="0" customWidth="1"/>
  </cols>
  <sheetData>
    <row r="1" spans="1:61" ht="95">
      <c r="A1" s="1" t="s">
        <v>34</v>
      </c>
      <c r="B1" s="2" t="s">
        <v>35</v>
      </c>
      <c r="C1" s="2" t="s">
        <v>0</v>
      </c>
      <c r="D1" s="2" t="s">
        <v>36</v>
      </c>
      <c r="E1" s="2" t="s">
        <v>1</v>
      </c>
      <c r="F1" s="2" t="s">
        <v>2</v>
      </c>
      <c r="G1" s="2" t="s">
        <v>3</v>
      </c>
      <c r="H1" s="2" t="s">
        <v>59</v>
      </c>
      <c r="I1" s="2" t="s">
        <v>4</v>
      </c>
      <c r="J1" s="2" t="s">
        <v>38</v>
      </c>
      <c r="K1" s="2" t="s">
        <v>39</v>
      </c>
      <c r="L1" s="2" t="s">
        <v>5</v>
      </c>
      <c r="M1" s="2" t="s">
        <v>6</v>
      </c>
      <c r="N1" s="2" t="s">
        <v>60</v>
      </c>
      <c r="O1" s="2" t="s">
        <v>7</v>
      </c>
      <c r="P1" s="2" t="s">
        <v>40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41</v>
      </c>
      <c r="Y1" s="2" t="s">
        <v>42</v>
      </c>
      <c r="Z1" s="2" t="s">
        <v>51</v>
      </c>
      <c r="AA1" s="2" t="s">
        <v>15</v>
      </c>
      <c r="AB1" s="2" t="s">
        <v>58</v>
      </c>
      <c r="AC1" s="2" t="s">
        <v>16</v>
      </c>
      <c r="AD1" s="2" t="s">
        <v>17</v>
      </c>
      <c r="AE1" s="2" t="s">
        <v>54</v>
      </c>
      <c r="AF1" s="2" t="s">
        <v>50</v>
      </c>
      <c r="AG1" s="2" t="s">
        <v>18</v>
      </c>
      <c r="AH1" s="2" t="s">
        <v>49</v>
      </c>
      <c r="AI1" s="2" t="s">
        <v>61</v>
      </c>
      <c r="AJ1" s="2" t="s">
        <v>19</v>
      </c>
      <c r="AK1" s="2" t="s">
        <v>68</v>
      </c>
      <c r="AL1" s="2" t="s">
        <v>62</v>
      </c>
      <c r="AM1" s="2" t="s">
        <v>63</v>
      </c>
      <c r="AN1" s="2" t="s">
        <v>55</v>
      </c>
      <c r="AO1" s="2" t="s">
        <v>20</v>
      </c>
      <c r="AP1" s="2" t="s">
        <v>21</v>
      </c>
      <c r="AQ1" s="2" t="s">
        <v>22</v>
      </c>
      <c r="AR1" s="2" t="s">
        <v>23</v>
      </c>
      <c r="AS1" s="2" t="s">
        <v>24</v>
      </c>
      <c r="AT1" s="2" t="s">
        <v>66</v>
      </c>
      <c r="AU1" s="2" t="s">
        <v>67</v>
      </c>
      <c r="AV1" s="2" t="s">
        <v>25</v>
      </c>
      <c r="AW1" s="2" t="s">
        <v>26</v>
      </c>
      <c r="AX1" s="2" t="s">
        <v>27</v>
      </c>
      <c r="AY1" s="2" t="s">
        <v>28</v>
      </c>
      <c r="AZ1" s="2" t="s">
        <v>29</v>
      </c>
      <c r="BA1" s="2" t="s">
        <v>46</v>
      </c>
      <c r="BB1" s="2" t="s">
        <v>53</v>
      </c>
      <c r="BC1" s="2" t="s">
        <v>45</v>
      </c>
      <c r="BD1" s="2" t="s">
        <v>30</v>
      </c>
      <c r="BE1" s="2" t="s">
        <v>31</v>
      </c>
      <c r="BF1" s="2" t="s">
        <v>32</v>
      </c>
      <c r="BG1" s="2" t="s">
        <v>33</v>
      </c>
      <c r="BH1" s="2" t="s">
        <v>65</v>
      </c>
      <c r="BI1" s="2" t="s">
        <v>64</v>
      </c>
    </row>
    <row r="2" spans="1:61" ht="15">
      <c r="A2" s="3" t="s">
        <v>35</v>
      </c>
      <c r="B2" s="4">
        <v>0</v>
      </c>
      <c r="C2" s="4">
        <v>455</v>
      </c>
      <c r="D2" s="4">
        <v>68</v>
      </c>
      <c r="E2" s="4">
        <f>429-56.9</f>
        <v>372.1</v>
      </c>
      <c r="F2" s="4">
        <f>1111-(100+56.2)</f>
        <v>954.8</v>
      </c>
      <c r="G2" s="4">
        <v>948</v>
      </c>
      <c r="H2" s="4">
        <v>9</v>
      </c>
      <c r="I2" s="4">
        <f>92.8-(32.5+5.1)</f>
        <v>55.199999999999996</v>
      </c>
      <c r="J2" s="4">
        <v>101</v>
      </c>
      <c r="K2" s="4">
        <f>97.5-(32.5+5.1)</f>
        <v>59.9</v>
      </c>
      <c r="L2" s="4">
        <v>840</v>
      </c>
      <c r="M2" s="4">
        <v>734</v>
      </c>
      <c r="N2" s="4">
        <v>1185</v>
      </c>
      <c r="O2" s="4">
        <f>97.5-(32.5+5.1)</f>
        <v>59.9</v>
      </c>
      <c r="P2" s="4">
        <v>1217</v>
      </c>
      <c r="Q2" s="4">
        <f>49-19.2</f>
        <v>29.8</v>
      </c>
      <c r="R2" s="4">
        <v>710</v>
      </c>
      <c r="S2" s="4">
        <v>520</v>
      </c>
      <c r="T2" s="4">
        <v>1220</v>
      </c>
      <c r="U2" s="4">
        <v>150</v>
      </c>
      <c r="V2" s="4">
        <v>3725</v>
      </c>
      <c r="W2" s="4">
        <v>830</v>
      </c>
      <c r="X2" s="4">
        <v>389</v>
      </c>
      <c r="Y2" s="4">
        <v>628</v>
      </c>
      <c r="Z2" s="4">
        <v>51</v>
      </c>
      <c r="AA2" s="4">
        <v>321</v>
      </c>
      <c r="AB2" s="4">
        <v>17</v>
      </c>
      <c r="AC2" s="4">
        <v>42</v>
      </c>
      <c r="AD2" s="4">
        <f>1794-194</f>
        <v>1600</v>
      </c>
      <c r="AE2" s="4">
        <v>965</v>
      </c>
      <c r="AF2" s="4">
        <f>84-56.9</f>
        <v>27.1</v>
      </c>
      <c r="AG2" s="4">
        <v>658</v>
      </c>
      <c r="AH2" s="4">
        <f>235-56.9</f>
        <v>178.1</v>
      </c>
      <c r="AI2" s="4">
        <f>195-56.9</f>
        <v>138.1</v>
      </c>
      <c r="AJ2" s="4">
        <v>395</v>
      </c>
      <c r="AK2" s="4">
        <v>549</v>
      </c>
      <c r="AL2" s="4">
        <v>45</v>
      </c>
      <c r="AM2" s="4">
        <v>417</v>
      </c>
      <c r="AN2" s="4">
        <v>780</v>
      </c>
      <c r="AO2" s="4">
        <f>429-56.9</f>
        <v>372.1</v>
      </c>
      <c r="AP2" s="4">
        <f>173-(19.2+18.1)</f>
        <v>135.7</v>
      </c>
      <c r="AQ2" s="4">
        <f>1697-194</f>
        <v>1503</v>
      </c>
      <c r="AR2" s="4">
        <v>659</v>
      </c>
      <c r="AS2" s="4">
        <v>563</v>
      </c>
      <c r="AT2" s="4">
        <v>11</v>
      </c>
      <c r="AU2" s="4">
        <v>351</v>
      </c>
      <c r="AV2" s="4">
        <v>459</v>
      </c>
      <c r="AW2" s="4">
        <f>80.3-32.5</f>
        <v>47.8</v>
      </c>
      <c r="AX2" s="4">
        <f>69.8-19.2</f>
        <v>50.599999999999994</v>
      </c>
      <c r="AY2" s="4">
        <f>142-46.4</f>
        <v>95.6</v>
      </c>
      <c r="AZ2" s="4">
        <v>67</v>
      </c>
      <c r="BA2" s="4">
        <v>34</v>
      </c>
      <c r="BB2" s="4">
        <v>1147</v>
      </c>
      <c r="BC2" s="4">
        <v>1349</v>
      </c>
      <c r="BD2" s="4">
        <f>286-56.9</f>
        <v>229.1</v>
      </c>
      <c r="BE2" s="4">
        <v>400</v>
      </c>
      <c r="BF2" s="4">
        <v>8</v>
      </c>
      <c r="BG2" s="4">
        <v>874</v>
      </c>
      <c r="BH2" s="4">
        <v>437</v>
      </c>
      <c r="BI2" s="4">
        <f>110-46.4</f>
        <v>63.6</v>
      </c>
    </row>
    <row r="3" spans="1:61" ht="15">
      <c r="A3" s="3" t="s">
        <v>0</v>
      </c>
      <c r="B3" s="4">
        <v>455</v>
      </c>
      <c r="C3" s="4">
        <v>0</v>
      </c>
      <c r="D3" s="4">
        <v>388</v>
      </c>
      <c r="E3" s="4">
        <f>813-56.9</f>
        <v>756.1</v>
      </c>
      <c r="F3" s="4">
        <f>703-(100+56.2)</f>
        <v>546.8</v>
      </c>
      <c r="G3" s="4">
        <v>541</v>
      </c>
      <c r="H3" s="4">
        <v>449</v>
      </c>
      <c r="I3" s="4">
        <f>528-(5.1+32.5)</f>
        <v>490.4</v>
      </c>
      <c r="J3" s="4">
        <v>359</v>
      </c>
      <c r="K3" s="4">
        <f>534-(5.1+32.5)</f>
        <v>496.4</v>
      </c>
      <c r="L3" s="4">
        <v>800</v>
      </c>
      <c r="M3" s="4">
        <v>771</v>
      </c>
      <c r="N3" s="4">
        <v>730</v>
      </c>
      <c r="O3" s="4">
        <f>534-(5.1+32.5)</f>
        <v>496.4</v>
      </c>
      <c r="P3" s="4">
        <v>762</v>
      </c>
      <c r="Q3" s="4">
        <f>502-19.2</f>
        <v>482.8</v>
      </c>
      <c r="R3" s="4">
        <v>554</v>
      </c>
      <c r="S3" s="4">
        <v>557</v>
      </c>
      <c r="T3" s="4">
        <v>766</v>
      </c>
      <c r="U3" s="4">
        <v>305</v>
      </c>
      <c r="V3" s="4">
        <v>3161</v>
      </c>
      <c r="W3" s="4">
        <v>674</v>
      </c>
      <c r="X3" s="4">
        <v>354</v>
      </c>
      <c r="Y3" s="4">
        <v>664</v>
      </c>
      <c r="Z3" s="4">
        <v>417</v>
      </c>
      <c r="AA3" s="4">
        <v>178</v>
      </c>
      <c r="AB3" s="4">
        <v>458</v>
      </c>
      <c r="AC3" s="4">
        <v>407</v>
      </c>
      <c r="AD3" s="4">
        <f>1340-194</f>
        <v>1146</v>
      </c>
      <c r="AE3" s="4">
        <v>509</v>
      </c>
      <c r="AF3" s="4">
        <f>536-56.9</f>
        <v>479.1</v>
      </c>
      <c r="AG3" s="4">
        <v>589</v>
      </c>
      <c r="AH3" s="4">
        <f>618-56.9</f>
        <v>561.1</v>
      </c>
      <c r="AI3" s="4">
        <f>577-56.9</f>
        <v>520.1</v>
      </c>
      <c r="AJ3" s="4">
        <v>430</v>
      </c>
      <c r="AK3" s="4">
        <v>92.7</v>
      </c>
      <c r="AL3" s="4">
        <v>426</v>
      </c>
      <c r="AM3" s="4">
        <v>382</v>
      </c>
      <c r="AN3" s="4">
        <v>326</v>
      </c>
      <c r="AO3" s="4">
        <f>813-56.9</f>
        <v>756.1</v>
      </c>
      <c r="AP3" s="4">
        <f>557-(18.1+19.2)</f>
        <v>519.7</v>
      </c>
      <c r="AQ3" s="4">
        <f>1242-194</f>
        <v>1048</v>
      </c>
      <c r="AR3" s="4">
        <v>205</v>
      </c>
      <c r="AS3" s="4">
        <v>407</v>
      </c>
      <c r="AT3" s="4">
        <v>465</v>
      </c>
      <c r="AU3" s="4">
        <v>195</v>
      </c>
      <c r="AV3" s="4">
        <v>303</v>
      </c>
      <c r="AW3" s="4">
        <f>516-32.5</f>
        <v>483.5</v>
      </c>
      <c r="AX3" s="4">
        <f>522-19.2</f>
        <v>502.8</v>
      </c>
      <c r="AY3" s="4">
        <f>579-46.4</f>
        <v>532.6</v>
      </c>
      <c r="AZ3" s="4">
        <v>365</v>
      </c>
      <c r="BA3" s="4">
        <v>432</v>
      </c>
      <c r="BB3" s="4">
        <v>691</v>
      </c>
      <c r="BC3" s="4">
        <v>900</v>
      </c>
      <c r="BD3" s="4">
        <f>670-56.9</f>
        <v>613.1</v>
      </c>
      <c r="BE3" s="4">
        <v>352</v>
      </c>
      <c r="BF3" s="4">
        <v>464</v>
      </c>
      <c r="BG3" s="4">
        <v>419</v>
      </c>
      <c r="BH3" s="4">
        <v>312</v>
      </c>
      <c r="BI3" s="4">
        <f>545-46.4</f>
        <v>498.6</v>
      </c>
    </row>
    <row r="4" spans="1:61" ht="15">
      <c r="A4" s="3" t="s">
        <v>36</v>
      </c>
      <c r="B4" s="4">
        <v>68</v>
      </c>
      <c r="C4" s="4">
        <v>388</v>
      </c>
      <c r="D4" s="4">
        <v>0</v>
      </c>
      <c r="E4" s="4">
        <f>495-56.9</f>
        <v>438.1</v>
      </c>
      <c r="F4" s="4">
        <f>1044-(100+56.2)</f>
        <v>887.8</v>
      </c>
      <c r="G4" s="4">
        <v>929</v>
      </c>
      <c r="H4" s="4">
        <v>61</v>
      </c>
      <c r="I4" s="4">
        <f>142-(5.1+32.5)</f>
        <v>104.4</v>
      </c>
      <c r="J4" s="4">
        <v>34</v>
      </c>
      <c r="K4" s="4">
        <f>147-(32.5+5.1)</f>
        <v>109.4</v>
      </c>
      <c r="L4" s="4">
        <v>774</v>
      </c>
      <c r="M4" s="4">
        <v>668</v>
      </c>
      <c r="N4" s="4">
        <v>1118</v>
      </c>
      <c r="O4" s="4">
        <f>147-(32.5+5.1)</f>
        <v>109.4</v>
      </c>
      <c r="P4" s="4">
        <v>1150</v>
      </c>
      <c r="Q4" s="4">
        <f>115-19.2</f>
        <v>95.8</v>
      </c>
      <c r="R4" s="4">
        <v>644</v>
      </c>
      <c r="S4" s="4">
        <v>454</v>
      </c>
      <c r="T4" s="4">
        <v>1154</v>
      </c>
      <c r="U4" s="4">
        <v>83.6</v>
      </c>
      <c r="V4" s="4">
        <v>3549</v>
      </c>
      <c r="W4" s="4">
        <v>763</v>
      </c>
      <c r="X4" s="4">
        <v>322</v>
      </c>
      <c r="Y4" s="4">
        <v>561</v>
      </c>
      <c r="Z4" s="4">
        <v>30</v>
      </c>
      <c r="AA4" s="4">
        <v>255</v>
      </c>
      <c r="AB4" s="4">
        <v>71</v>
      </c>
      <c r="AC4" s="4">
        <v>38.3</v>
      </c>
      <c r="AD4" s="4">
        <f>1727-194</f>
        <v>1533</v>
      </c>
      <c r="AE4" s="4">
        <v>897</v>
      </c>
      <c r="AF4" s="4">
        <f>149-56.9</f>
        <v>92.1</v>
      </c>
      <c r="AG4" s="4">
        <v>590</v>
      </c>
      <c r="AH4" s="4">
        <f>299-56.9</f>
        <v>242.1</v>
      </c>
      <c r="AI4" s="4">
        <f>259-56.9</f>
        <v>202.1</v>
      </c>
      <c r="AJ4" s="4">
        <v>329</v>
      </c>
      <c r="AK4" s="4">
        <v>480</v>
      </c>
      <c r="AL4" s="4">
        <v>40</v>
      </c>
      <c r="AM4" s="4">
        <v>351</v>
      </c>
      <c r="AN4" s="4">
        <v>714</v>
      </c>
      <c r="AO4" s="4">
        <f>495-56.9</f>
        <v>438.1</v>
      </c>
      <c r="AP4" s="4">
        <f>239-(18.1+19.2)</f>
        <v>201.7</v>
      </c>
      <c r="AQ4" s="4">
        <f>1630-194</f>
        <v>1436</v>
      </c>
      <c r="AR4" s="4">
        <v>593</v>
      </c>
      <c r="AS4" s="4">
        <v>496</v>
      </c>
      <c r="AT4" s="4">
        <v>78</v>
      </c>
      <c r="AU4" s="4">
        <v>285</v>
      </c>
      <c r="AV4" s="4">
        <v>393</v>
      </c>
      <c r="AW4" s="4">
        <f>129-32.5</f>
        <v>96.5</v>
      </c>
      <c r="AX4" s="4">
        <f>135-19.2</f>
        <v>115.8</v>
      </c>
      <c r="AY4" s="4">
        <f>192-46.4</f>
        <v>145.6</v>
      </c>
      <c r="AZ4" s="4">
        <v>132</v>
      </c>
      <c r="BA4" s="4">
        <v>45</v>
      </c>
      <c r="BB4" s="4">
        <v>1079</v>
      </c>
      <c r="BC4" s="4">
        <v>1283</v>
      </c>
      <c r="BD4" s="4">
        <f>351-56.9</f>
        <v>294.1</v>
      </c>
      <c r="BE4" s="4">
        <v>333</v>
      </c>
      <c r="BF4" s="4">
        <v>76</v>
      </c>
      <c r="BG4" s="4">
        <v>807</v>
      </c>
      <c r="BH4" s="4">
        <v>370</v>
      </c>
      <c r="BI4" s="4">
        <f>158-46.4</f>
        <v>111.6</v>
      </c>
    </row>
    <row r="5" spans="1:61" ht="15">
      <c r="A5" s="3" t="s">
        <v>1</v>
      </c>
      <c r="B5" s="4">
        <f>429-56.9</f>
        <v>372.1</v>
      </c>
      <c r="C5" s="4">
        <f>813-56.9</f>
        <v>756.1</v>
      </c>
      <c r="D5" s="4">
        <f>495-56.9</f>
        <v>438.1</v>
      </c>
      <c r="E5" s="4">
        <v>0</v>
      </c>
      <c r="F5" s="4">
        <f>453-(143+107+100+56.2)</f>
        <v>46.80000000000001</v>
      </c>
      <c r="G5" s="4">
        <f>297-(143+107)</f>
        <v>47</v>
      </c>
      <c r="H5" s="4">
        <f>435-56.9</f>
        <v>378.1</v>
      </c>
      <c r="I5" s="4">
        <v>382</v>
      </c>
      <c r="J5" s="4">
        <f>527-56.9</f>
        <v>470.1</v>
      </c>
      <c r="K5" s="4">
        <v>400</v>
      </c>
      <c r="L5" s="4">
        <f>1267-56.9</f>
        <v>1210.1</v>
      </c>
      <c r="M5" s="4">
        <f>1160-56.9</f>
        <v>1103.1</v>
      </c>
      <c r="N5" s="4">
        <f>1611-56.9</f>
        <v>1554.1</v>
      </c>
      <c r="O5" s="4">
        <v>400</v>
      </c>
      <c r="P5" s="4">
        <f>1643-56.9</f>
        <v>1586.1</v>
      </c>
      <c r="Q5" s="4">
        <f>407-(30.2+18.1)</f>
        <v>358.7</v>
      </c>
      <c r="R5" s="4">
        <f>1137-56.9</f>
        <v>1080.1</v>
      </c>
      <c r="S5" s="4">
        <f>947-56.9</f>
        <v>890.1</v>
      </c>
      <c r="T5" s="4">
        <f>845-510</f>
        <v>335</v>
      </c>
      <c r="U5" s="4">
        <f>576-56.9</f>
        <v>519.1</v>
      </c>
      <c r="V5" s="4">
        <f>3154-510</f>
        <v>2644</v>
      </c>
      <c r="W5" s="4">
        <f>1256-56.9</f>
        <v>1199.1</v>
      </c>
      <c r="X5" s="4">
        <f>815-56.9</f>
        <v>758.1</v>
      </c>
      <c r="Y5" s="4">
        <f>1054-56.9</f>
        <v>997.1</v>
      </c>
      <c r="Z5" s="4">
        <f>477-56.9</f>
        <v>420.1</v>
      </c>
      <c r="AA5" s="4">
        <f>637-56.9</f>
        <v>580.1</v>
      </c>
      <c r="AB5" s="4">
        <f>425-56.9</f>
        <v>368.1</v>
      </c>
      <c r="AC5" s="4">
        <f>469-56.9</f>
        <v>412.1</v>
      </c>
      <c r="AD5" s="4">
        <f>850-(510+194)</f>
        <v>146</v>
      </c>
      <c r="AE5" s="4">
        <v>1180</v>
      </c>
      <c r="AF5" s="4">
        <v>347</v>
      </c>
      <c r="AG5" s="4">
        <f>1084-56.9</f>
        <v>1027.1</v>
      </c>
      <c r="AH5" s="4">
        <v>200</v>
      </c>
      <c r="AI5" s="4">
        <v>248</v>
      </c>
      <c r="AJ5" s="4">
        <f>822-56.9</f>
        <v>765.1</v>
      </c>
      <c r="AK5" s="4">
        <v>906</v>
      </c>
      <c r="AL5" s="4">
        <f>470-67.1</f>
        <v>402.9</v>
      </c>
      <c r="AM5" s="4">
        <f>843-56.9</f>
        <v>786.1</v>
      </c>
      <c r="AN5" s="4">
        <f>1139-56.9</f>
        <v>1082.1</v>
      </c>
      <c r="AO5" s="4">
        <v>0</v>
      </c>
      <c r="AP5" s="4">
        <f>282-30.2</f>
        <v>251.8</v>
      </c>
      <c r="AQ5" s="4">
        <f>754-(510+194)</f>
        <v>50</v>
      </c>
      <c r="AR5" s="4">
        <f>1018-56.9</f>
        <v>961.1</v>
      </c>
      <c r="AS5" s="4">
        <f>989-56.9</f>
        <v>932.1</v>
      </c>
      <c r="AT5" s="4">
        <f>440-56.9</f>
        <v>383.1</v>
      </c>
      <c r="AU5" s="4">
        <f>778-56.9</f>
        <v>721.1</v>
      </c>
      <c r="AV5" s="4">
        <f>886-56.9</f>
        <v>829.1</v>
      </c>
      <c r="AW5" s="4">
        <f>416-5.1</f>
        <v>410.9</v>
      </c>
      <c r="AX5" s="4">
        <f>385-(30.2+18.1)</f>
        <v>336.7</v>
      </c>
      <c r="AY5" s="4">
        <v>468</v>
      </c>
      <c r="AZ5" s="4">
        <f>450-56.9</f>
        <v>393.1</v>
      </c>
      <c r="BA5" s="4">
        <f>460-56.9</f>
        <v>403.1</v>
      </c>
      <c r="BB5" s="4">
        <v>1505</v>
      </c>
      <c r="BC5" s="4">
        <f>702-510</f>
        <v>192</v>
      </c>
      <c r="BD5" s="4">
        <v>465</v>
      </c>
      <c r="BE5" s="4">
        <f>826-56.9</f>
        <v>769.1</v>
      </c>
      <c r="BF5" s="4">
        <f>436-56.9</f>
        <v>379.1</v>
      </c>
      <c r="BG5" s="4">
        <f>1300-56.9</f>
        <v>1243.1</v>
      </c>
      <c r="BH5" s="4">
        <f>863-56.9</f>
        <v>806.1</v>
      </c>
      <c r="BI5" s="4">
        <v>462</v>
      </c>
    </row>
    <row r="6" spans="1:61" ht="15">
      <c r="A6" s="3" t="s">
        <v>2</v>
      </c>
      <c r="B6" s="4">
        <f>1111-(100+56.2)</f>
        <v>954.8</v>
      </c>
      <c r="C6" s="4">
        <f>703-(100+56.2)</f>
        <v>546.8</v>
      </c>
      <c r="D6" s="4">
        <f>1044-(100+56.2)</f>
        <v>887.8</v>
      </c>
      <c r="E6" s="4">
        <f>453-(143+107+100+56.2)</f>
        <v>46.80000000000001</v>
      </c>
      <c r="F6" s="4">
        <v>0</v>
      </c>
      <c r="G6" s="4">
        <f>163-(100+56.2)</f>
        <v>6.800000000000011</v>
      </c>
      <c r="H6" s="4">
        <f>1105-(100+56.2)</f>
        <v>948.8</v>
      </c>
      <c r="I6" s="4">
        <f>1183-(100+56.2+32.5+5.1)</f>
        <v>989.2</v>
      </c>
      <c r="J6" s="4">
        <f>1013-(100+56.2)</f>
        <v>856.8</v>
      </c>
      <c r="K6" s="4">
        <f>1188-(100+56.2+32.5+5.1)</f>
        <v>994.2</v>
      </c>
      <c r="L6" s="4">
        <f>1456-(100+56.2)</f>
        <v>1299.8</v>
      </c>
      <c r="M6" s="4">
        <f>1427-(100+56.2)</f>
        <v>1270.8</v>
      </c>
      <c r="N6" s="4">
        <f>1258-(100+56.2)</f>
        <v>1101.8</v>
      </c>
      <c r="O6" s="4">
        <f>1188-(100+56.2+32.5+5.1)</f>
        <v>994.2</v>
      </c>
      <c r="P6" s="4">
        <f>1289-(100+56.2)</f>
        <v>1132.8</v>
      </c>
      <c r="Q6" s="4">
        <f>1157-(100+56.2+19.2)</f>
        <v>981.6</v>
      </c>
      <c r="R6" s="4">
        <f>1210-(100+56.2)</f>
        <v>1053.8</v>
      </c>
      <c r="S6" s="4">
        <f>1213-(100+56.2)</f>
        <v>1056.8</v>
      </c>
      <c r="T6" s="4">
        <f>617-325</f>
        <v>292</v>
      </c>
      <c r="U6" s="4">
        <f>961-(100+56.2)</f>
        <v>804.8</v>
      </c>
      <c r="V6" s="4">
        <f>2926-325</f>
        <v>2601</v>
      </c>
      <c r="W6" s="4">
        <f>1330-(100+56.2)</f>
        <v>1173.8</v>
      </c>
      <c r="X6" s="4">
        <f>1010-(100+56.2)</f>
        <v>853.8</v>
      </c>
      <c r="Y6" s="4">
        <f>1320-(100+56.2)</f>
        <v>1163.8</v>
      </c>
      <c r="Z6" s="4">
        <f>1073-(100+56.2)</f>
        <v>916.8</v>
      </c>
      <c r="AA6" s="4">
        <f>834-(100+56.2)</f>
        <v>677.8</v>
      </c>
      <c r="AB6" s="4">
        <f>1114-(100+56.2)</f>
        <v>957.8</v>
      </c>
      <c r="AC6" s="4">
        <f>1062-(100+56.2)</f>
        <v>905.8</v>
      </c>
      <c r="AD6" s="4">
        <f>623-(325+194)</f>
        <v>104</v>
      </c>
      <c r="AE6" s="4">
        <v>880</v>
      </c>
      <c r="AF6" s="4">
        <f>794-(56.2+100+107+143)</f>
        <v>387.8</v>
      </c>
      <c r="AG6" s="4">
        <f>1307-(100+56.2)</f>
        <v>1150.8</v>
      </c>
      <c r="AH6" s="4">
        <f>647-(56.2+100+107+143)</f>
        <v>240.8</v>
      </c>
      <c r="AI6" s="4">
        <f>696-(56.2+100+107+143)</f>
        <v>289.8</v>
      </c>
      <c r="AJ6" s="4">
        <f>1086-(100+56.2)</f>
        <v>929.8</v>
      </c>
      <c r="AK6" s="4">
        <v>459</v>
      </c>
      <c r="AL6" s="4">
        <f>1082-(100+56.2)</f>
        <v>925.8</v>
      </c>
      <c r="AM6" s="4">
        <v>1038</v>
      </c>
      <c r="AN6" s="4">
        <f>853-(100+56.2)</f>
        <v>696.8</v>
      </c>
      <c r="AO6" s="4">
        <f>453-(143+107+100+56.2)</f>
        <v>46.80000000000001</v>
      </c>
      <c r="AP6" s="4">
        <f>729-(56.2+100+107+30.2)</f>
        <v>435.6</v>
      </c>
      <c r="AQ6" s="4">
        <f>526-(325+194)</f>
        <v>7</v>
      </c>
      <c r="AR6" s="4">
        <f>732-(100+56.2)</f>
        <v>575.8</v>
      </c>
      <c r="AS6" s="4">
        <f>1063-(100+56.2)</f>
        <v>906.8</v>
      </c>
      <c r="AT6" s="4">
        <f>1121-(100+56.2)</f>
        <v>964.8</v>
      </c>
      <c r="AU6" s="4">
        <f>851-(100+56.2)</f>
        <v>694.8</v>
      </c>
      <c r="AV6" s="4">
        <f>959-(100+56.2)</f>
        <v>802.8</v>
      </c>
      <c r="AW6" s="4">
        <f>1171-(100+56.2+32.5)</f>
        <v>982.3</v>
      </c>
      <c r="AX6" s="4">
        <f>1178-(100+56.2+19.2)</f>
        <v>1002.6</v>
      </c>
      <c r="AY6" s="4">
        <f>1233-(100+56.2+46.4)</f>
        <v>1030.4</v>
      </c>
      <c r="AZ6" s="4">
        <f>1021-(100+56.2)</f>
        <v>864.8</v>
      </c>
      <c r="BA6" s="4">
        <f>1088-(100+56.2)</f>
        <v>931.8</v>
      </c>
      <c r="BB6" s="4">
        <v>352</v>
      </c>
      <c r="BC6" s="4">
        <f>474-325</f>
        <v>149</v>
      </c>
      <c r="BD6" s="4">
        <f>913-(56.2+100+107+143)</f>
        <v>506.8</v>
      </c>
      <c r="BE6" s="4">
        <f>1007-(100+56.2)</f>
        <v>850.8</v>
      </c>
      <c r="BF6" s="4">
        <f>1119-(100+56.2)</f>
        <v>962.8</v>
      </c>
      <c r="BG6" s="4">
        <f>947-(100+56.2)</f>
        <v>790.8</v>
      </c>
      <c r="BH6" s="4">
        <f>967-(100+56.2)</f>
        <v>810.8</v>
      </c>
      <c r="BI6" s="4">
        <f>1201-(100+56.2+46.4)</f>
        <v>998.4</v>
      </c>
    </row>
    <row r="7" spans="1:61" ht="15">
      <c r="A7" s="3" t="s">
        <v>3</v>
      </c>
      <c r="B7" s="4">
        <v>948</v>
      </c>
      <c r="C7" s="4">
        <v>541</v>
      </c>
      <c r="D7" s="4">
        <v>929</v>
      </c>
      <c r="E7" s="4">
        <f>297-(143+107)</f>
        <v>47</v>
      </c>
      <c r="F7" s="4">
        <f>163-(100+56.2)</f>
        <v>6.800000000000011</v>
      </c>
      <c r="G7" s="4">
        <v>0</v>
      </c>
      <c r="H7" s="4">
        <v>942</v>
      </c>
      <c r="I7" s="4">
        <f>1022-(5.1+32.5)</f>
        <v>984.4</v>
      </c>
      <c r="J7" s="4">
        <v>852</v>
      </c>
      <c r="K7" s="4">
        <f>1027-(5.1+32.5)</f>
        <v>989.4</v>
      </c>
      <c r="L7" s="4">
        <v>1294</v>
      </c>
      <c r="M7" s="4">
        <v>1264</v>
      </c>
      <c r="N7" s="4">
        <v>1095</v>
      </c>
      <c r="O7" s="4">
        <f>1027-(5.1+32.5)</f>
        <v>989.4</v>
      </c>
      <c r="P7" s="4">
        <v>1127</v>
      </c>
      <c r="Q7" s="4">
        <f>928-19.2</f>
        <v>908.8</v>
      </c>
      <c r="R7" s="4">
        <v>1048</v>
      </c>
      <c r="S7" s="4">
        <v>1050</v>
      </c>
      <c r="T7" s="4">
        <v>1131</v>
      </c>
      <c r="U7" s="4">
        <v>799</v>
      </c>
      <c r="V7" s="4">
        <v>3526</v>
      </c>
      <c r="W7" s="4">
        <v>1167</v>
      </c>
      <c r="X7" s="4">
        <v>854</v>
      </c>
      <c r="Y7" s="4">
        <v>1159</v>
      </c>
      <c r="Z7" s="4">
        <v>911</v>
      </c>
      <c r="AA7" s="4">
        <v>671</v>
      </c>
      <c r="AB7" s="4">
        <v>951</v>
      </c>
      <c r="AC7" s="4">
        <v>900</v>
      </c>
      <c r="AD7" s="4">
        <f>1705-194</f>
        <v>1511</v>
      </c>
      <c r="AE7" s="4">
        <v>874</v>
      </c>
      <c r="AF7" s="4">
        <f>1029-56.9</f>
        <v>972.1</v>
      </c>
      <c r="AG7" s="4">
        <v>1130</v>
      </c>
      <c r="AH7" s="4">
        <f>491-(143+107)</f>
        <v>241</v>
      </c>
      <c r="AI7" s="4">
        <f>540-(143+107)</f>
        <v>290</v>
      </c>
      <c r="AJ7" s="4">
        <v>924</v>
      </c>
      <c r="AK7" s="4">
        <v>452</v>
      </c>
      <c r="AL7" s="4">
        <v>920</v>
      </c>
      <c r="AM7" s="4">
        <v>924</v>
      </c>
      <c r="AN7" s="4">
        <v>691</v>
      </c>
      <c r="AO7" s="4">
        <f>297-(143+107)</f>
        <v>47</v>
      </c>
      <c r="AP7" s="4">
        <f>573-(30.2+143)</f>
        <v>399.8</v>
      </c>
      <c r="AQ7" s="4">
        <f>1607-194</f>
        <v>1413</v>
      </c>
      <c r="AR7" s="4">
        <v>570</v>
      </c>
      <c r="AS7" s="4">
        <v>890</v>
      </c>
      <c r="AT7" s="4">
        <v>1006</v>
      </c>
      <c r="AU7" s="4">
        <v>735</v>
      </c>
      <c r="AV7" s="4">
        <v>782</v>
      </c>
      <c r="AW7" s="4">
        <f>1009-32.5</f>
        <v>976.5</v>
      </c>
      <c r="AX7" s="4">
        <f>1015-19.2</f>
        <v>995.8</v>
      </c>
      <c r="AY7" s="4">
        <f>1072-46.4</f>
        <v>1025.6</v>
      </c>
      <c r="AZ7" s="4">
        <v>905</v>
      </c>
      <c r="BA7" s="4">
        <v>971</v>
      </c>
      <c r="BB7" s="4">
        <v>1056</v>
      </c>
      <c r="BC7" s="4">
        <v>1259</v>
      </c>
      <c r="BD7" s="4">
        <f>757-(143+107)</f>
        <v>507</v>
      </c>
      <c r="BE7" s="4">
        <v>892</v>
      </c>
      <c r="BF7" s="4">
        <v>1005</v>
      </c>
      <c r="BG7" s="4">
        <v>784</v>
      </c>
      <c r="BH7" s="4">
        <v>853</v>
      </c>
      <c r="BI7" s="4">
        <f>1038-46.4</f>
        <v>991.6</v>
      </c>
    </row>
    <row r="8" spans="1:61" ht="15">
      <c r="A8" s="3" t="s">
        <v>37</v>
      </c>
      <c r="B8" s="4">
        <v>9</v>
      </c>
      <c r="C8" s="4">
        <v>449</v>
      </c>
      <c r="D8" s="4">
        <v>61</v>
      </c>
      <c r="E8" s="4">
        <f>435-56.9</f>
        <v>378.1</v>
      </c>
      <c r="F8" s="4">
        <f>1105-(100+56.2)</f>
        <v>948.8</v>
      </c>
      <c r="G8" s="4">
        <v>942</v>
      </c>
      <c r="H8" s="4">
        <v>0</v>
      </c>
      <c r="I8" s="4">
        <f>97.5-(5.1+32.5)</f>
        <v>59.9</v>
      </c>
      <c r="J8" s="4">
        <v>94</v>
      </c>
      <c r="K8" s="4">
        <f>103-(32.5+5.1)</f>
        <v>65.4</v>
      </c>
      <c r="L8" s="4">
        <v>833</v>
      </c>
      <c r="M8" s="4">
        <v>727</v>
      </c>
      <c r="N8" s="4">
        <v>1179</v>
      </c>
      <c r="O8" s="4">
        <f>103-(32.5+5.1)</f>
        <v>65.4</v>
      </c>
      <c r="P8" s="4">
        <v>1210</v>
      </c>
      <c r="Q8" s="4">
        <f>55.9-19.2</f>
        <v>36.7</v>
      </c>
      <c r="R8" s="4">
        <v>703</v>
      </c>
      <c r="S8" s="4">
        <v>513</v>
      </c>
      <c r="T8" s="4">
        <v>1213</v>
      </c>
      <c r="U8" s="4">
        <v>143</v>
      </c>
      <c r="V8" s="4">
        <v>3608</v>
      </c>
      <c r="W8" s="4">
        <v>823</v>
      </c>
      <c r="X8" s="4">
        <v>383</v>
      </c>
      <c r="Y8" s="4">
        <v>622</v>
      </c>
      <c r="Z8" s="4">
        <v>44</v>
      </c>
      <c r="AA8" s="4">
        <v>315</v>
      </c>
      <c r="AB8" s="4">
        <v>13</v>
      </c>
      <c r="AC8" s="4">
        <v>35.5</v>
      </c>
      <c r="AD8" s="4">
        <f>1788-194</f>
        <v>1594</v>
      </c>
      <c r="AE8" s="4">
        <v>953</v>
      </c>
      <c r="AF8" s="4">
        <f>90-56.9</f>
        <v>33.1</v>
      </c>
      <c r="AG8" s="4">
        <v>651</v>
      </c>
      <c r="AH8" s="4">
        <f>239-56.9</f>
        <v>182.1</v>
      </c>
      <c r="AI8" s="4">
        <f>199-56.9</f>
        <v>142.1</v>
      </c>
      <c r="AJ8" s="4">
        <v>389</v>
      </c>
      <c r="AK8" s="4">
        <v>537</v>
      </c>
      <c r="AL8" s="4">
        <v>41</v>
      </c>
      <c r="AM8" s="4">
        <v>412</v>
      </c>
      <c r="AN8" s="4">
        <v>774</v>
      </c>
      <c r="AO8" s="4">
        <f>435-56.9</f>
        <v>378.1</v>
      </c>
      <c r="AP8" s="4">
        <f>179-(18.1+19.2)</f>
        <v>141.7</v>
      </c>
      <c r="AQ8" s="4">
        <f>1691-194</f>
        <v>1497</v>
      </c>
      <c r="AR8" s="4">
        <v>653</v>
      </c>
      <c r="AS8" s="4">
        <v>556</v>
      </c>
      <c r="AT8" s="4">
        <v>20</v>
      </c>
      <c r="AU8" s="4">
        <v>344</v>
      </c>
      <c r="AV8" s="4">
        <v>453</v>
      </c>
      <c r="AW8" s="4">
        <f>85-32.5</f>
        <v>52.5</v>
      </c>
      <c r="AX8" s="4">
        <f>75.9-19.2</f>
        <v>56.7</v>
      </c>
      <c r="AY8" s="4">
        <f>148-46.4</f>
        <v>101.6</v>
      </c>
      <c r="AZ8" s="4">
        <v>72.8</v>
      </c>
      <c r="BA8" s="4">
        <v>26</v>
      </c>
      <c r="BB8" s="4">
        <v>1135</v>
      </c>
      <c r="BC8" s="4">
        <v>1343</v>
      </c>
      <c r="BD8" s="4">
        <f>292-56.9</f>
        <v>235.1</v>
      </c>
      <c r="BE8" s="4">
        <v>393</v>
      </c>
      <c r="BF8" s="4">
        <v>19</v>
      </c>
      <c r="BG8" s="4">
        <v>868</v>
      </c>
      <c r="BH8" s="4">
        <v>431</v>
      </c>
      <c r="BI8" s="4">
        <f>114-46.4</f>
        <v>67.6</v>
      </c>
    </row>
    <row r="9" spans="1:61" ht="15">
      <c r="A9" s="3" t="s">
        <v>4</v>
      </c>
      <c r="B9" s="4">
        <f>92.8-(32.5+5.1)</f>
        <v>55.199999999999996</v>
      </c>
      <c r="C9" s="4">
        <f>528-(5.1+32.5)</f>
        <v>490.4</v>
      </c>
      <c r="D9" s="4">
        <f>142-(5.1+32.5)</f>
        <v>104.4</v>
      </c>
      <c r="E9" s="4">
        <v>382</v>
      </c>
      <c r="F9" s="4">
        <f>1183-(100+56.2+32.5+5.1)</f>
        <v>989.2</v>
      </c>
      <c r="G9" s="4">
        <f>1022-(5.1+32.5)</f>
        <v>984.4</v>
      </c>
      <c r="H9" s="4">
        <f>97.5-(5.1+32.5)</f>
        <v>59.9</v>
      </c>
      <c r="I9" s="4">
        <v>0</v>
      </c>
      <c r="J9" s="4">
        <f>174-(5.1+32.5)</f>
        <v>136.4</v>
      </c>
      <c r="K9" s="4">
        <v>20.9</v>
      </c>
      <c r="L9" s="4">
        <f>913-(5.1+32.5)</f>
        <v>875.4</v>
      </c>
      <c r="M9" s="4">
        <f>807-(5.1+32.5)</f>
        <v>769.4</v>
      </c>
      <c r="N9" s="4">
        <f>1258-(5.1+32.5)</f>
        <v>1220.4</v>
      </c>
      <c r="O9" s="4">
        <v>20.9</v>
      </c>
      <c r="P9" s="4">
        <f>1290-(5.1+32.5)</f>
        <v>1252.4</v>
      </c>
      <c r="Q9" s="4">
        <f>119-(19.2+56.9)</f>
        <v>42.900000000000006</v>
      </c>
      <c r="R9" s="4">
        <f>784-(5.1+32.5)</f>
        <v>746.4</v>
      </c>
      <c r="S9" s="4">
        <f>594-(5.1+32.5)</f>
        <v>556.4</v>
      </c>
      <c r="T9" s="4">
        <f>1293-(5.1+32.5)</f>
        <v>1255.4</v>
      </c>
      <c r="U9" s="4">
        <f>223-(5.1+32.5)</f>
        <v>185.4</v>
      </c>
      <c r="V9" s="4">
        <f>3689-(5.1+32.5)</f>
        <v>3651.4</v>
      </c>
      <c r="W9" s="4">
        <f>903-(5.1+32.5)</f>
        <v>865.4</v>
      </c>
      <c r="X9" s="4">
        <f>462-(5.1+32.5)</f>
        <v>424.4</v>
      </c>
      <c r="Y9" s="4">
        <f>701-(5.1+32.5)</f>
        <v>663.4</v>
      </c>
      <c r="Z9" s="4">
        <f>114-(5.1+32.5)</f>
        <v>76.4</v>
      </c>
      <c r="AA9" s="4">
        <f>324-56.9</f>
        <v>267.1</v>
      </c>
      <c r="AB9" s="4">
        <f>108-56.9</f>
        <v>51.1</v>
      </c>
      <c r="AC9" s="4">
        <f>119-(5.1+32.5)</f>
        <v>81.4</v>
      </c>
      <c r="AD9" s="4">
        <f>1226-(194+510)</f>
        <v>522</v>
      </c>
      <c r="AE9" s="4">
        <v>1004</v>
      </c>
      <c r="AF9" s="4">
        <v>38.8</v>
      </c>
      <c r="AG9" s="4">
        <f>731-(5.1+32.5)</f>
        <v>693.4</v>
      </c>
      <c r="AH9" s="4">
        <v>186</v>
      </c>
      <c r="AI9" s="4">
        <v>146</v>
      </c>
      <c r="AJ9" s="4">
        <f>469-(5.1+32.5)</f>
        <v>431.4</v>
      </c>
      <c r="AK9" s="4">
        <v>586</v>
      </c>
      <c r="AL9" s="4">
        <f>97.1-(5.1+32.5)</f>
        <v>59.49999999999999</v>
      </c>
      <c r="AM9" s="4">
        <f>490-(5.1+32.5)</f>
        <v>452.4</v>
      </c>
      <c r="AN9" s="4">
        <f>854-(5.1+32.5)</f>
        <v>816.4</v>
      </c>
      <c r="AO9" s="4">
        <v>382</v>
      </c>
      <c r="AP9" s="4">
        <f>182-30.2</f>
        <v>151.8</v>
      </c>
      <c r="AQ9" s="4">
        <f>1129-(194+510)</f>
        <v>425</v>
      </c>
      <c r="AR9" s="4">
        <f>733-(5.1+32.5)</f>
        <v>695.4</v>
      </c>
      <c r="AS9" s="4">
        <f>636-(5.1+32.5)</f>
        <v>598.4</v>
      </c>
      <c r="AT9" s="4">
        <f>86.8-(5.1+32.5)</f>
        <v>49.199999999999996</v>
      </c>
      <c r="AU9" s="4">
        <f>425-(5.1+32.5)</f>
        <v>387.4</v>
      </c>
      <c r="AV9" s="4">
        <f>533-(5.1+32.5)</f>
        <v>495.4</v>
      </c>
      <c r="AW9" s="4">
        <f>32.7-5.1</f>
        <v>27.6</v>
      </c>
      <c r="AX9" s="4">
        <f>139-(19.2+56.9)</f>
        <v>62.900000000000006</v>
      </c>
      <c r="AY9" s="4">
        <f>88.1</f>
        <v>88.1</v>
      </c>
      <c r="AZ9" s="4">
        <f>138-56.9</f>
        <v>81.1</v>
      </c>
      <c r="BA9" s="4">
        <f>95.6-(5.1+32.5)</f>
        <v>57.99999999999999</v>
      </c>
      <c r="BB9" s="4">
        <v>1186</v>
      </c>
      <c r="BC9" s="4">
        <f>1422-(5.1+32.5)</f>
        <v>1384.4</v>
      </c>
      <c r="BD9" s="4">
        <v>239</v>
      </c>
      <c r="BE9" s="4">
        <f>473-(5.1+32.5)</f>
        <v>435.4</v>
      </c>
      <c r="BF9" s="4">
        <f>97.1-(5.1+32.5)</f>
        <v>59.49999999999999</v>
      </c>
      <c r="BG9" s="4">
        <f>947-(5.1+32.5)</f>
        <v>909.4</v>
      </c>
      <c r="BH9" s="4">
        <f>510-(5.1+32.5)</f>
        <v>472.4</v>
      </c>
      <c r="BI9" s="4">
        <v>81.9</v>
      </c>
    </row>
    <row r="10" spans="1:61" ht="15">
      <c r="A10" s="3" t="s">
        <v>38</v>
      </c>
      <c r="B10" s="4">
        <v>101</v>
      </c>
      <c r="C10" s="4">
        <v>359</v>
      </c>
      <c r="D10" s="4">
        <v>34</v>
      </c>
      <c r="E10" s="4">
        <f>527-56.9</f>
        <v>470.1</v>
      </c>
      <c r="F10" s="4">
        <f>1013-(100+56.2)</f>
        <v>856.8</v>
      </c>
      <c r="G10" s="4">
        <v>852</v>
      </c>
      <c r="H10" s="4">
        <v>94</v>
      </c>
      <c r="I10" s="4">
        <f>174-(5.1+32.5)</f>
        <v>136.4</v>
      </c>
      <c r="J10" s="4">
        <v>0</v>
      </c>
      <c r="K10" s="4">
        <f>180-(32.5+5.1)</f>
        <v>142.4</v>
      </c>
      <c r="L10" s="4">
        <v>744</v>
      </c>
      <c r="M10" s="4">
        <v>638</v>
      </c>
      <c r="N10" s="4">
        <v>1089</v>
      </c>
      <c r="O10" s="4">
        <f>180-(32.5+5.1)</f>
        <v>142.4</v>
      </c>
      <c r="P10" s="4">
        <v>1121</v>
      </c>
      <c r="Q10" s="4">
        <f>148-19.2</f>
        <v>128.8</v>
      </c>
      <c r="R10" s="4">
        <v>614</v>
      </c>
      <c r="S10" s="4">
        <v>424</v>
      </c>
      <c r="T10" s="4">
        <v>1124</v>
      </c>
      <c r="U10" s="4">
        <v>54.3</v>
      </c>
      <c r="V10" s="4">
        <v>3519</v>
      </c>
      <c r="W10" s="4">
        <v>734</v>
      </c>
      <c r="X10" s="4">
        <v>293</v>
      </c>
      <c r="Y10" s="4">
        <v>532</v>
      </c>
      <c r="Z10" s="4">
        <v>64</v>
      </c>
      <c r="AA10" s="4">
        <v>226</v>
      </c>
      <c r="AB10" s="4">
        <v>104</v>
      </c>
      <c r="AC10" s="4">
        <v>67.5</v>
      </c>
      <c r="AD10" s="4">
        <f>1696-194</f>
        <v>1502</v>
      </c>
      <c r="AE10" s="4">
        <v>865</v>
      </c>
      <c r="AF10" s="4">
        <f>181-56.9</f>
        <v>124.1</v>
      </c>
      <c r="AG10" s="4">
        <v>561</v>
      </c>
      <c r="AH10" s="4">
        <f>331-56.9</f>
        <v>274.1</v>
      </c>
      <c r="AI10" s="4">
        <f>291-56.9</f>
        <v>234.1</v>
      </c>
      <c r="AJ10" s="4">
        <v>300</v>
      </c>
      <c r="AK10" s="4">
        <v>449</v>
      </c>
      <c r="AL10" s="4">
        <v>72</v>
      </c>
      <c r="AM10" s="4">
        <v>322</v>
      </c>
      <c r="AN10" s="4">
        <v>684</v>
      </c>
      <c r="AO10" s="4">
        <f>527-56.9</f>
        <v>470.1</v>
      </c>
      <c r="AP10" s="4">
        <f>271-(18.1+19.2)</f>
        <v>233.7</v>
      </c>
      <c r="AQ10" s="4">
        <f>1601-194</f>
        <v>1407</v>
      </c>
      <c r="AR10" s="4">
        <v>564</v>
      </c>
      <c r="AS10" s="4">
        <v>467</v>
      </c>
      <c r="AT10" s="4">
        <v>111</v>
      </c>
      <c r="AU10" s="4">
        <v>255</v>
      </c>
      <c r="AV10" s="4">
        <v>364</v>
      </c>
      <c r="AW10" s="4">
        <f>161-32.5</f>
        <v>128.5</v>
      </c>
      <c r="AX10" s="4">
        <f>168-19.2</f>
        <v>148.8</v>
      </c>
      <c r="AY10" s="4">
        <f>224-46.4</f>
        <v>177.6</v>
      </c>
      <c r="AZ10" s="4">
        <v>165</v>
      </c>
      <c r="BA10" s="4">
        <v>78</v>
      </c>
      <c r="BB10" s="4">
        <v>1047</v>
      </c>
      <c r="BC10" s="4">
        <v>1253</v>
      </c>
      <c r="BD10" s="4">
        <f>383-56.9</f>
        <v>326.1</v>
      </c>
      <c r="BE10" s="4">
        <v>303</v>
      </c>
      <c r="BF10" s="4">
        <v>110</v>
      </c>
      <c r="BG10" s="4">
        <v>778</v>
      </c>
      <c r="BH10" s="4">
        <v>341</v>
      </c>
      <c r="BI10" s="4">
        <f>191-46.4</f>
        <v>144.6</v>
      </c>
    </row>
    <row r="11" spans="1:61" ht="15">
      <c r="A11" s="3" t="s">
        <v>39</v>
      </c>
      <c r="B11" s="4">
        <f>97.5-(32.5+5.1)</f>
        <v>59.9</v>
      </c>
      <c r="C11" s="4">
        <f>534-(5.1+32.5)</f>
        <v>496.4</v>
      </c>
      <c r="D11" s="4">
        <f>147-(32.5+5.1)</f>
        <v>109.4</v>
      </c>
      <c r="E11" s="4">
        <v>400</v>
      </c>
      <c r="F11" s="4">
        <f>1188-(100+56.2+32.5+5.1)</f>
        <v>994.2</v>
      </c>
      <c r="G11" s="4">
        <f>1027-(5.1+32.5)</f>
        <v>989.4</v>
      </c>
      <c r="H11" s="4">
        <f>103-(32.5+5.1)</f>
        <v>65.4</v>
      </c>
      <c r="I11" s="4">
        <v>20.9</v>
      </c>
      <c r="J11" s="4">
        <f>180-(32.5+5.1)</f>
        <v>142.4</v>
      </c>
      <c r="K11" s="4">
        <v>0</v>
      </c>
      <c r="L11" s="4">
        <f>919-(5.1+32.5)</f>
        <v>881.4</v>
      </c>
      <c r="M11" s="4">
        <f>813-(5.1+32.5)</f>
        <v>775.4</v>
      </c>
      <c r="N11" s="4">
        <f>1264-(32.5+5.1)</f>
        <v>1226.4</v>
      </c>
      <c r="O11" s="4">
        <v>0</v>
      </c>
      <c r="P11" s="4">
        <f>1296-(32.5+5.1)</f>
        <v>1258.4</v>
      </c>
      <c r="Q11" s="4">
        <f>137-(19.2+56.9)</f>
        <v>60.900000000000006</v>
      </c>
      <c r="R11" s="4">
        <f>789-(5.1+32.5)</f>
        <v>751.4</v>
      </c>
      <c r="S11" s="4">
        <f>599-(5.1+32.5)</f>
        <v>561.4</v>
      </c>
      <c r="T11" s="4">
        <f>1299-(5.1+32.5)</f>
        <v>1261.4</v>
      </c>
      <c r="U11" s="4">
        <f>229-(5.1+32.5)</f>
        <v>191.4</v>
      </c>
      <c r="V11" s="4">
        <f>3695-(5.1+32.5)</f>
        <v>3657.4</v>
      </c>
      <c r="W11" s="4">
        <f>909-(5.1+32.5)</f>
        <v>871.4</v>
      </c>
      <c r="X11" s="4">
        <f>468-(32.5+5.1)</f>
        <v>430.4</v>
      </c>
      <c r="Y11" s="4">
        <f>705-(32.5+5.1)</f>
        <v>667.4</v>
      </c>
      <c r="Z11" s="4">
        <f>120-(32.5+5.1)</f>
        <v>82.4</v>
      </c>
      <c r="AA11" s="4">
        <f>343-56.9</f>
        <v>286.1</v>
      </c>
      <c r="AB11" s="4">
        <f>131-56.9</f>
        <v>74.1</v>
      </c>
      <c r="AC11" s="4">
        <f>125-(5.1+32.5)</f>
        <v>87.4</v>
      </c>
      <c r="AD11" s="4">
        <f>1244-(510+194)</f>
        <v>540</v>
      </c>
      <c r="AE11" s="4">
        <v>1041</v>
      </c>
      <c r="AF11" s="4">
        <v>58</v>
      </c>
      <c r="AG11" s="4">
        <f>737-(5.1+32.5)</f>
        <v>699.4</v>
      </c>
      <c r="AH11" s="4">
        <v>207</v>
      </c>
      <c r="AI11" s="4">
        <v>166</v>
      </c>
      <c r="AJ11" s="4">
        <f>475-(5.1+32.5)</f>
        <v>437.4</v>
      </c>
      <c r="AK11" s="4">
        <v>624</v>
      </c>
      <c r="AL11" s="4">
        <f>103-(32.5+5.1)</f>
        <v>65.4</v>
      </c>
      <c r="AM11" s="4">
        <f>496-(32.5+5.1)</f>
        <v>458.4</v>
      </c>
      <c r="AN11" s="4">
        <f>860-(32.5+5.1)</f>
        <v>822.4</v>
      </c>
      <c r="AO11" s="4">
        <v>400</v>
      </c>
      <c r="AP11" s="4">
        <f>200-30.2</f>
        <v>169.8</v>
      </c>
      <c r="AQ11" s="4">
        <f>1147-(194+510)</f>
        <v>443</v>
      </c>
      <c r="AR11" s="4">
        <f>739-(5.1+32.5)</f>
        <v>701.4</v>
      </c>
      <c r="AS11" s="4">
        <f>642-(5.1+32.5)</f>
        <v>604.4</v>
      </c>
      <c r="AT11" s="4">
        <f>93-(32.5+5.1)</f>
        <v>55.4</v>
      </c>
      <c r="AU11" s="4">
        <f>430-(32.5+5.1)</f>
        <v>392.4</v>
      </c>
      <c r="AV11" s="4">
        <f>539-(5.1+32.5)</f>
        <v>501.4</v>
      </c>
      <c r="AW11" s="4">
        <f>38.6-5.1</f>
        <v>33.5</v>
      </c>
      <c r="AX11" s="4">
        <f>157-(19.2+56.9)</f>
        <v>80.9</v>
      </c>
      <c r="AY11" s="4">
        <v>70.4</v>
      </c>
      <c r="AZ11" s="4">
        <f>157-56.9</f>
        <v>100.1</v>
      </c>
      <c r="BA11" s="4">
        <f>102-(32.5+5.1)</f>
        <v>64.4</v>
      </c>
      <c r="BB11" s="4">
        <v>1190</v>
      </c>
      <c r="BC11" s="4">
        <f>1428-(32.5+5.1)</f>
        <v>1390.4</v>
      </c>
      <c r="BD11" s="4">
        <v>258</v>
      </c>
      <c r="BE11" s="4">
        <f>479-(32.5+5.1)</f>
        <v>441.4</v>
      </c>
      <c r="BF11" s="4">
        <f>103-(32.5+5.1)</f>
        <v>65.4</v>
      </c>
      <c r="BG11" s="4">
        <f>953-(5.1+32.5)</f>
        <v>915.4</v>
      </c>
      <c r="BH11" s="4">
        <f>516-(32.5+5.1)</f>
        <v>478.4</v>
      </c>
      <c r="BI11" s="4">
        <v>64</v>
      </c>
    </row>
    <row r="12" spans="1:61" ht="15">
      <c r="A12" s="3" t="s">
        <v>5</v>
      </c>
      <c r="B12" s="4">
        <v>840</v>
      </c>
      <c r="C12" s="4">
        <v>800</v>
      </c>
      <c r="D12" s="4">
        <v>774</v>
      </c>
      <c r="E12" s="4">
        <f>1267-56.9</f>
        <v>1210.1</v>
      </c>
      <c r="F12" s="4">
        <f>1456-(100+56.2)</f>
        <v>1299.8</v>
      </c>
      <c r="G12" s="4">
        <v>1294</v>
      </c>
      <c r="H12" s="4">
        <v>833</v>
      </c>
      <c r="I12" s="4">
        <f>913-(5.1+32.5)</f>
        <v>875.4</v>
      </c>
      <c r="J12" s="4">
        <v>744</v>
      </c>
      <c r="K12" s="4">
        <f>919-(5.1+32.5)</f>
        <v>881.4</v>
      </c>
      <c r="L12" s="4">
        <v>0</v>
      </c>
      <c r="M12" s="4">
        <v>105</v>
      </c>
      <c r="N12" s="4">
        <v>1026</v>
      </c>
      <c r="O12" s="4">
        <f>919-(5.1+32.5)</f>
        <v>881.4</v>
      </c>
      <c r="P12" s="4">
        <v>1102</v>
      </c>
      <c r="Q12" s="4">
        <f>887-19.2</f>
        <v>867.8</v>
      </c>
      <c r="R12" s="4">
        <v>247</v>
      </c>
      <c r="S12" s="4">
        <v>320</v>
      </c>
      <c r="T12" s="4">
        <v>1321</v>
      </c>
      <c r="U12" s="4">
        <v>691</v>
      </c>
      <c r="V12" s="4">
        <v>3618</v>
      </c>
      <c r="W12" s="4">
        <v>134</v>
      </c>
      <c r="X12" s="4">
        <v>528</v>
      </c>
      <c r="Y12" s="4">
        <v>229</v>
      </c>
      <c r="Z12" s="4">
        <v>798</v>
      </c>
      <c r="AA12" s="4">
        <v>776</v>
      </c>
      <c r="AB12" s="4">
        <v>844</v>
      </c>
      <c r="AC12" s="4">
        <v>807</v>
      </c>
      <c r="AD12" s="4">
        <f>1894-194</f>
        <v>1700</v>
      </c>
      <c r="AE12" s="4">
        <v>1059</v>
      </c>
      <c r="AF12" s="4">
        <f>921-56.9</f>
        <v>864.1</v>
      </c>
      <c r="AG12" s="4">
        <v>230</v>
      </c>
      <c r="AH12" s="4">
        <f>1071-56.9</f>
        <v>1014.1</v>
      </c>
      <c r="AI12" s="4">
        <f>1030-56.9</f>
        <v>973.1</v>
      </c>
      <c r="AJ12" s="4">
        <v>445</v>
      </c>
      <c r="AK12" s="4">
        <v>892</v>
      </c>
      <c r="AL12" s="4">
        <v>812</v>
      </c>
      <c r="AM12" s="4">
        <v>506</v>
      </c>
      <c r="AN12" s="4">
        <v>876</v>
      </c>
      <c r="AO12" s="4">
        <f>1267-56.9</f>
        <v>1210.1</v>
      </c>
      <c r="AP12" s="4">
        <f>1010-(18.1+19.2)</f>
        <v>972.7</v>
      </c>
      <c r="AQ12" s="4">
        <f>1797-194</f>
        <v>1603</v>
      </c>
      <c r="AR12" s="4">
        <v>986</v>
      </c>
      <c r="AS12" s="4">
        <v>395</v>
      </c>
      <c r="AT12" s="4">
        <v>851</v>
      </c>
      <c r="AU12" s="4">
        <v>607</v>
      </c>
      <c r="AV12" s="4">
        <v>497</v>
      </c>
      <c r="AW12" s="4">
        <f>901-32.5</f>
        <v>868.5</v>
      </c>
      <c r="AX12" s="4">
        <f>907-19.2</f>
        <v>887.8</v>
      </c>
      <c r="AY12" s="4">
        <f>964-46.4</f>
        <v>917.6</v>
      </c>
      <c r="AZ12" s="4">
        <v>904</v>
      </c>
      <c r="BA12" s="4">
        <v>818</v>
      </c>
      <c r="BB12" s="4">
        <v>1246</v>
      </c>
      <c r="BC12" s="4">
        <v>1449</v>
      </c>
      <c r="BD12" s="4">
        <f>1123-56.9</f>
        <v>1066.1</v>
      </c>
      <c r="BE12" s="4">
        <v>526</v>
      </c>
      <c r="BF12" s="4">
        <v>850</v>
      </c>
      <c r="BG12" s="4">
        <v>974</v>
      </c>
      <c r="BH12" s="4">
        <v>542</v>
      </c>
      <c r="BI12" s="4">
        <f>930-46.4</f>
        <v>883.6</v>
      </c>
    </row>
    <row r="13" spans="1:61" ht="15">
      <c r="A13" s="3" t="s">
        <v>6</v>
      </c>
      <c r="B13" s="4">
        <v>734</v>
      </c>
      <c r="C13" s="4">
        <v>771</v>
      </c>
      <c r="D13" s="4">
        <v>668</v>
      </c>
      <c r="E13" s="4">
        <f>1160-56.9</f>
        <v>1103.1</v>
      </c>
      <c r="F13" s="4">
        <f>1427-(100+56.2)</f>
        <v>1270.8</v>
      </c>
      <c r="G13" s="4">
        <v>1264</v>
      </c>
      <c r="H13" s="4">
        <v>727</v>
      </c>
      <c r="I13" s="4">
        <f>807-(5.1+32.5)</f>
        <v>769.4</v>
      </c>
      <c r="J13" s="4">
        <v>638</v>
      </c>
      <c r="K13" s="4">
        <f>813-(5.1+32.5)</f>
        <v>775.4</v>
      </c>
      <c r="L13" s="4">
        <v>105</v>
      </c>
      <c r="M13" s="4">
        <v>0</v>
      </c>
      <c r="N13" s="4">
        <v>1131</v>
      </c>
      <c r="O13" s="4">
        <f>813-(5.1+32.5)</f>
        <v>775.4</v>
      </c>
      <c r="P13" s="4">
        <v>1208</v>
      </c>
      <c r="Q13" s="4">
        <f>781-19.2</f>
        <v>761.8</v>
      </c>
      <c r="R13" s="4">
        <v>352</v>
      </c>
      <c r="S13" s="4">
        <v>214</v>
      </c>
      <c r="T13" s="4">
        <v>1426</v>
      </c>
      <c r="U13" s="4">
        <v>585</v>
      </c>
      <c r="V13" s="4">
        <v>3723</v>
      </c>
      <c r="W13" s="4">
        <v>239</v>
      </c>
      <c r="X13" s="4">
        <v>422</v>
      </c>
      <c r="Y13" s="4">
        <v>123</v>
      </c>
      <c r="Z13" s="4">
        <v>692</v>
      </c>
      <c r="AA13" s="4">
        <v>711</v>
      </c>
      <c r="AB13" s="4">
        <v>738</v>
      </c>
      <c r="AC13" s="4">
        <v>701</v>
      </c>
      <c r="AD13" s="4">
        <f>2000-194</f>
        <v>1806</v>
      </c>
      <c r="AE13" s="4">
        <v>1064</v>
      </c>
      <c r="AF13" s="4">
        <f>815-56.9</f>
        <v>758.1</v>
      </c>
      <c r="AG13" s="4">
        <v>124</v>
      </c>
      <c r="AH13" s="4">
        <f>965-56.9</f>
        <v>908.1</v>
      </c>
      <c r="AI13" s="4">
        <f>924-56.9</f>
        <v>867.1</v>
      </c>
      <c r="AJ13" s="4">
        <v>339</v>
      </c>
      <c r="AK13" s="4">
        <v>863</v>
      </c>
      <c r="AL13" s="4">
        <v>706</v>
      </c>
      <c r="AM13" s="4">
        <v>400</v>
      </c>
      <c r="AN13" s="4">
        <v>982</v>
      </c>
      <c r="AO13" s="4">
        <f>1160-56.9</f>
        <v>1103.1</v>
      </c>
      <c r="AP13" s="4">
        <f>904-(18.1+19.2)</f>
        <v>866.7</v>
      </c>
      <c r="AQ13" s="4">
        <f>1903-194</f>
        <v>1709</v>
      </c>
      <c r="AR13" s="4">
        <v>973</v>
      </c>
      <c r="AS13" s="4">
        <v>366</v>
      </c>
      <c r="AT13" s="4">
        <v>745</v>
      </c>
      <c r="AU13" s="4">
        <v>577</v>
      </c>
      <c r="AV13" s="4">
        <v>463</v>
      </c>
      <c r="AW13" s="4">
        <f>795-32.5</f>
        <v>762.5</v>
      </c>
      <c r="AX13" s="4">
        <f>801-19.2</f>
        <v>781.8</v>
      </c>
      <c r="AY13" s="4">
        <f>858-46.4</f>
        <v>811.6</v>
      </c>
      <c r="AZ13" s="4">
        <v>798</v>
      </c>
      <c r="BA13" s="4">
        <v>711</v>
      </c>
      <c r="BB13" s="4">
        <v>1351</v>
      </c>
      <c r="BC13" s="4">
        <v>1555</v>
      </c>
      <c r="BD13" s="4">
        <f>1017-56.9</f>
        <v>960.1</v>
      </c>
      <c r="BE13" s="4">
        <v>420</v>
      </c>
      <c r="BF13" s="4">
        <v>744</v>
      </c>
      <c r="BG13" s="4">
        <v>1080</v>
      </c>
      <c r="BH13" s="4">
        <v>460</v>
      </c>
      <c r="BI13" s="4">
        <f>824-46.4</f>
        <v>777.6</v>
      </c>
    </row>
    <row r="14" spans="1:61" ht="15">
      <c r="A14" s="3" t="s">
        <v>52</v>
      </c>
      <c r="B14" s="4">
        <v>1185</v>
      </c>
      <c r="C14" s="4">
        <v>730</v>
      </c>
      <c r="D14" s="4">
        <v>1118</v>
      </c>
      <c r="E14" s="4">
        <f>1611-56.9</f>
        <v>1554.1</v>
      </c>
      <c r="F14" s="4">
        <f>1258-(100+56.2)</f>
        <v>1101.8</v>
      </c>
      <c r="G14" s="4">
        <v>1095</v>
      </c>
      <c r="H14" s="4">
        <v>1179</v>
      </c>
      <c r="I14" s="4">
        <f>1258-(5.1+32.5)</f>
        <v>1220.4</v>
      </c>
      <c r="J14" s="4">
        <v>1089</v>
      </c>
      <c r="K14" s="4">
        <f>1264-(32.5+5.1)</f>
        <v>1226.4</v>
      </c>
      <c r="L14" s="4">
        <v>1026</v>
      </c>
      <c r="M14" s="4">
        <v>1131</v>
      </c>
      <c r="N14" s="4">
        <v>0</v>
      </c>
      <c r="O14" s="4">
        <f>1264-(32.5+5.1)</f>
        <v>1226.4</v>
      </c>
      <c r="P14" s="4">
        <v>76</v>
      </c>
      <c r="Q14" s="4">
        <f>1363-19.2</f>
        <v>1343.8</v>
      </c>
      <c r="R14" s="4">
        <v>830</v>
      </c>
      <c r="S14" s="4">
        <v>1285</v>
      </c>
      <c r="T14" s="4">
        <v>849</v>
      </c>
      <c r="U14" s="4">
        <v>1035</v>
      </c>
      <c r="V14" s="4">
        <v>2591</v>
      </c>
      <c r="W14" s="4">
        <v>899</v>
      </c>
      <c r="X14" s="4">
        <v>1084</v>
      </c>
      <c r="Y14" s="4">
        <v>1255</v>
      </c>
      <c r="Z14" s="4">
        <v>1147</v>
      </c>
      <c r="AA14" s="4">
        <v>908</v>
      </c>
      <c r="AB14" s="4">
        <v>1188</v>
      </c>
      <c r="AC14" s="4">
        <v>1136</v>
      </c>
      <c r="AD14" s="4">
        <f>1423-194</f>
        <v>1229</v>
      </c>
      <c r="AE14" s="4">
        <v>278</v>
      </c>
      <c r="AF14" s="4">
        <f>1198-56.9</f>
        <v>1141.1</v>
      </c>
      <c r="AG14" s="4">
        <v>1256</v>
      </c>
      <c r="AH14" s="4">
        <f>1415-56.9</f>
        <v>1358.1</v>
      </c>
      <c r="AI14" s="4">
        <f>1375-56.9</f>
        <v>1318.1</v>
      </c>
      <c r="AJ14" s="4">
        <v>1160</v>
      </c>
      <c r="AK14" s="4">
        <v>642</v>
      </c>
      <c r="AL14" s="4">
        <v>1156</v>
      </c>
      <c r="AM14" s="4">
        <v>1113</v>
      </c>
      <c r="AN14" s="4">
        <v>405</v>
      </c>
      <c r="AO14" s="4">
        <f>1611-56.9</f>
        <v>1554.1</v>
      </c>
      <c r="AP14" s="4">
        <f>1355-(18.1+19.2)</f>
        <v>1317.7</v>
      </c>
      <c r="AQ14" s="4">
        <f>1326-194</f>
        <v>1132</v>
      </c>
      <c r="AR14" s="4">
        <v>525</v>
      </c>
      <c r="AS14" s="4">
        <v>974</v>
      </c>
      <c r="AT14" s="4">
        <v>1195</v>
      </c>
      <c r="AU14" s="4">
        <v>925</v>
      </c>
      <c r="AV14" s="4">
        <v>1033</v>
      </c>
      <c r="AW14" s="4">
        <f>1245-32.5</f>
        <v>1212.5</v>
      </c>
      <c r="AX14" s="4">
        <f>1252-19.2</f>
        <v>1232.8</v>
      </c>
      <c r="AY14" s="4">
        <f>1308-46.4</f>
        <v>1261.6</v>
      </c>
      <c r="AZ14" s="4">
        <v>1095</v>
      </c>
      <c r="BA14" s="4">
        <v>1162</v>
      </c>
      <c r="BB14" s="4">
        <v>773</v>
      </c>
      <c r="BC14" s="4">
        <v>978</v>
      </c>
      <c r="BD14" s="4">
        <f>1472-56.9</f>
        <v>1415.1</v>
      </c>
      <c r="BE14" s="4">
        <v>1081</v>
      </c>
      <c r="BF14" s="4">
        <v>1193</v>
      </c>
      <c r="BG14" s="4">
        <v>503</v>
      </c>
      <c r="BH14" s="4">
        <v>1042</v>
      </c>
      <c r="BI14" s="4">
        <f>1275-46.4</f>
        <v>1228.6</v>
      </c>
    </row>
    <row r="15" spans="1:61" ht="15">
      <c r="A15" s="3" t="s">
        <v>7</v>
      </c>
      <c r="B15" s="4">
        <f>97.5-(32.5+5.1)</f>
        <v>59.9</v>
      </c>
      <c r="C15" s="4">
        <f>534-(5.1+32.5)</f>
        <v>496.4</v>
      </c>
      <c r="D15" s="4">
        <f>147-(32.5+5.1)</f>
        <v>109.4</v>
      </c>
      <c r="E15" s="4">
        <v>400</v>
      </c>
      <c r="F15" s="4">
        <f>1188-(100+56.2+32.5+5.1)</f>
        <v>994.2</v>
      </c>
      <c r="G15" s="4">
        <f>1027-(5.1+32.5)</f>
        <v>989.4</v>
      </c>
      <c r="H15" s="4">
        <f>103-(32.5+5.1)</f>
        <v>65.4</v>
      </c>
      <c r="I15" s="4">
        <v>20.9</v>
      </c>
      <c r="J15" s="4">
        <f>180-(32.5+5.1)</f>
        <v>142.4</v>
      </c>
      <c r="K15" s="4">
        <v>0</v>
      </c>
      <c r="L15" s="4">
        <f>919-(5.1+32.5)</f>
        <v>881.4</v>
      </c>
      <c r="M15" s="4">
        <f>813-(5.1+32.5)</f>
        <v>775.4</v>
      </c>
      <c r="N15" s="4">
        <f>1264-(32.5+5.1)</f>
        <v>1226.4</v>
      </c>
      <c r="O15" s="4">
        <v>0</v>
      </c>
      <c r="P15" s="4">
        <f>1296-(32.5+5.1)</f>
        <v>1258.4</v>
      </c>
      <c r="Q15" s="4">
        <f>137-(19.2+56.9)</f>
        <v>60.900000000000006</v>
      </c>
      <c r="R15" s="4">
        <f>789-(5.1+32.5)</f>
        <v>751.4</v>
      </c>
      <c r="S15" s="4">
        <f>599-(5.1+32.5)</f>
        <v>561.4</v>
      </c>
      <c r="T15" s="4">
        <f>1299-(5.1+32.5)</f>
        <v>1261.4</v>
      </c>
      <c r="U15" s="4">
        <f>229-(5.1+32.5)</f>
        <v>191.4</v>
      </c>
      <c r="V15" s="4">
        <f>3695-(5.1+32.5)</f>
        <v>3657.4</v>
      </c>
      <c r="W15" s="4">
        <f>909-(5.1+32.5)</f>
        <v>871.4</v>
      </c>
      <c r="X15" s="4">
        <f>468-(32.5+5.1)</f>
        <v>430.4</v>
      </c>
      <c r="Y15" s="4">
        <f>705-(32.5+5.1)</f>
        <v>667.4</v>
      </c>
      <c r="Z15" s="4">
        <f>120-(32.5+5.1)</f>
        <v>82.4</v>
      </c>
      <c r="AA15" s="4">
        <f>343-56.9</f>
        <v>286.1</v>
      </c>
      <c r="AB15" s="4">
        <f>131-56.9</f>
        <v>74.1</v>
      </c>
      <c r="AC15" s="4">
        <f>125-(5.1+32.5)</f>
        <v>87.4</v>
      </c>
      <c r="AD15" s="4">
        <f>1244-(510+194)</f>
        <v>540</v>
      </c>
      <c r="AE15" s="4">
        <v>1007</v>
      </c>
      <c r="AF15" s="4">
        <v>58</v>
      </c>
      <c r="AG15" s="4">
        <f>737-(5.1+32.5)</f>
        <v>699.4</v>
      </c>
      <c r="AH15" s="4">
        <v>207</v>
      </c>
      <c r="AI15" s="4">
        <v>166</v>
      </c>
      <c r="AJ15" s="4">
        <f>475-(5.1+32.5)</f>
        <v>437.4</v>
      </c>
      <c r="AK15" s="4">
        <v>591</v>
      </c>
      <c r="AL15" s="4">
        <f>103-(32.5+5.1)</f>
        <v>65.4</v>
      </c>
      <c r="AM15" s="4">
        <f>496-(32.5+5.1)</f>
        <v>458.4</v>
      </c>
      <c r="AN15" s="4">
        <f>860-(32.5+5.1)</f>
        <v>822.4</v>
      </c>
      <c r="AO15" s="4">
        <v>400</v>
      </c>
      <c r="AP15" s="4">
        <f>200-30.2</f>
        <v>169.8</v>
      </c>
      <c r="AQ15" s="4">
        <f>1147-(194+510)</f>
        <v>443</v>
      </c>
      <c r="AR15" s="4">
        <f>739-(5.1+32.5)</f>
        <v>701.4</v>
      </c>
      <c r="AS15" s="4">
        <f>642-(5.1+32.5)</f>
        <v>604.4</v>
      </c>
      <c r="AT15" s="4">
        <f>93-(32.5+5.1)</f>
        <v>55.4</v>
      </c>
      <c r="AU15" s="4">
        <f>430-(32.5+5.1)</f>
        <v>392.4</v>
      </c>
      <c r="AV15" s="4">
        <f>539-(5.1+32.5)</f>
        <v>501.4</v>
      </c>
      <c r="AW15" s="4">
        <f>38.6-5.1</f>
        <v>33.5</v>
      </c>
      <c r="AX15" s="4">
        <f>157-(19.2+56.9)</f>
        <v>80.9</v>
      </c>
      <c r="AY15" s="4">
        <v>70.4</v>
      </c>
      <c r="AZ15" s="4">
        <f>157-56.9</f>
        <v>100.1</v>
      </c>
      <c r="BA15" s="4">
        <f>102-(32.5+5.1)</f>
        <v>64.4</v>
      </c>
      <c r="BB15" s="4">
        <v>1190</v>
      </c>
      <c r="BC15" s="4">
        <f>1428-(32.5+5.1)</f>
        <v>1390.4</v>
      </c>
      <c r="BD15" s="4">
        <v>258</v>
      </c>
      <c r="BE15" s="4">
        <f>479-(32.5+5.1)</f>
        <v>441.4</v>
      </c>
      <c r="BF15" s="4">
        <f>103-(32.5+5.1)</f>
        <v>65.4</v>
      </c>
      <c r="BG15" s="4">
        <f>953-(5.1+32.5)</f>
        <v>915.4</v>
      </c>
      <c r="BH15" s="4">
        <f>516-(32.5+5.1)</f>
        <v>478.4</v>
      </c>
      <c r="BI15" s="4">
        <v>64</v>
      </c>
    </row>
    <row r="16" spans="1:61" ht="15">
      <c r="A16" s="3" t="s">
        <v>40</v>
      </c>
      <c r="B16" s="4">
        <v>1217</v>
      </c>
      <c r="C16" s="4">
        <v>762</v>
      </c>
      <c r="D16" s="4">
        <v>1150</v>
      </c>
      <c r="E16" s="4">
        <f>1643-56.9</f>
        <v>1586.1</v>
      </c>
      <c r="F16" s="4">
        <f>1289-(100+56.2)</f>
        <v>1132.8</v>
      </c>
      <c r="G16" s="4">
        <v>1127</v>
      </c>
      <c r="H16" s="4">
        <v>1210</v>
      </c>
      <c r="I16" s="4">
        <f>1290-(5.1+32.5)</f>
        <v>1252.4</v>
      </c>
      <c r="J16" s="4">
        <v>1121</v>
      </c>
      <c r="K16" s="4">
        <f>1296-(32.5+5.1)</f>
        <v>1258.4</v>
      </c>
      <c r="L16" s="4">
        <v>1102</v>
      </c>
      <c r="M16" s="4">
        <v>1208</v>
      </c>
      <c r="N16" s="4">
        <v>76</v>
      </c>
      <c r="O16" s="4">
        <f>1296-(32.5+5.1)</f>
        <v>1258.4</v>
      </c>
      <c r="P16" s="4">
        <v>0</v>
      </c>
      <c r="Q16" s="4">
        <f>1264-19.2</f>
        <v>1244.8</v>
      </c>
      <c r="R16" s="4">
        <v>907</v>
      </c>
      <c r="S16" s="4">
        <v>1319</v>
      </c>
      <c r="T16" s="4">
        <v>881</v>
      </c>
      <c r="U16" s="4">
        <v>1067</v>
      </c>
      <c r="V16" s="4">
        <v>2519</v>
      </c>
      <c r="W16" s="4">
        <v>976</v>
      </c>
      <c r="X16" s="4">
        <v>1116</v>
      </c>
      <c r="Y16" s="4">
        <v>1332</v>
      </c>
      <c r="Z16" s="4">
        <v>1179</v>
      </c>
      <c r="AA16" s="4">
        <v>940</v>
      </c>
      <c r="AB16" s="4">
        <v>1220</v>
      </c>
      <c r="AC16" s="4">
        <v>1173</v>
      </c>
      <c r="AD16" s="4">
        <f>1455-194</f>
        <v>1261</v>
      </c>
      <c r="AE16" s="4">
        <v>311</v>
      </c>
      <c r="AF16" s="4">
        <f>1297-56.9</f>
        <v>1240.1</v>
      </c>
      <c r="AG16" s="4">
        <v>1332</v>
      </c>
      <c r="AH16" s="4">
        <f>1447-56.9</f>
        <v>1390.1</v>
      </c>
      <c r="AI16" s="4">
        <f>1407-56.9</f>
        <v>1350.1</v>
      </c>
      <c r="AJ16" s="4">
        <v>1192</v>
      </c>
      <c r="AK16" s="4">
        <v>676</v>
      </c>
      <c r="AL16" s="4">
        <v>1188</v>
      </c>
      <c r="AM16" s="4">
        <v>1145</v>
      </c>
      <c r="AN16" s="4">
        <v>437</v>
      </c>
      <c r="AO16" s="4">
        <f>1643-56.9</f>
        <v>1586.1</v>
      </c>
      <c r="AP16" s="4">
        <f>1387-(18.1+19.2)</f>
        <v>1349.7</v>
      </c>
      <c r="AQ16" s="4">
        <f>1358-194</f>
        <v>1164</v>
      </c>
      <c r="AR16" s="4">
        <v>557</v>
      </c>
      <c r="AS16" s="4">
        <v>1051</v>
      </c>
      <c r="AT16" s="4">
        <v>1227</v>
      </c>
      <c r="AU16" s="4">
        <v>957</v>
      </c>
      <c r="AV16" s="4">
        <v>1065</v>
      </c>
      <c r="AW16" s="4">
        <f>1277-32.5</f>
        <v>1244.5</v>
      </c>
      <c r="AX16" s="4">
        <f>1284-19.2</f>
        <v>1264.8</v>
      </c>
      <c r="AY16" s="4">
        <f>1340-46.4</f>
        <v>1293.6</v>
      </c>
      <c r="AZ16" s="4">
        <v>1126</v>
      </c>
      <c r="BA16" s="4">
        <v>1194</v>
      </c>
      <c r="BB16" s="4">
        <v>807</v>
      </c>
      <c r="BC16" s="4">
        <v>1010</v>
      </c>
      <c r="BD16" s="4">
        <f>1499-56.9</f>
        <v>1442.1</v>
      </c>
      <c r="BE16" s="4">
        <v>1113</v>
      </c>
      <c r="BF16" s="4">
        <v>1225</v>
      </c>
      <c r="BG16" s="4">
        <v>535</v>
      </c>
      <c r="BH16" s="4">
        <v>1074</v>
      </c>
      <c r="BI16" s="4">
        <f>1307-46.4</f>
        <v>1260.6</v>
      </c>
    </row>
    <row r="17" spans="1:61" ht="15">
      <c r="A17" s="3" t="s">
        <v>8</v>
      </c>
      <c r="B17" s="4">
        <f>49-19.2</f>
        <v>29.8</v>
      </c>
      <c r="C17" s="4">
        <f>502-19.2</f>
        <v>482.8</v>
      </c>
      <c r="D17" s="4">
        <f>115-19.2</f>
        <v>95.8</v>
      </c>
      <c r="E17" s="4">
        <f>407-(30.2+18.1)</f>
        <v>358.7</v>
      </c>
      <c r="F17" s="4">
        <f>1157-(100+56.2+19.2)</f>
        <v>981.6</v>
      </c>
      <c r="G17" s="4">
        <f>928-19.2</f>
        <v>908.8</v>
      </c>
      <c r="H17" s="4">
        <f>55.9-19.2</f>
        <v>36.7</v>
      </c>
      <c r="I17" s="4">
        <f>119-(19.2+56.9)</f>
        <v>42.900000000000006</v>
      </c>
      <c r="J17" s="4">
        <f>148-19.2</f>
        <v>128.8</v>
      </c>
      <c r="K17" s="4">
        <f>137-(19.2+56.9)</f>
        <v>60.900000000000006</v>
      </c>
      <c r="L17" s="4">
        <f>887-19.2</f>
        <v>867.8</v>
      </c>
      <c r="M17" s="4">
        <f>781-19.2</f>
        <v>761.8</v>
      </c>
      <c r="N17" s="4">
        <f>1363-19.2</f>
        <v>1343.8</v>
      </c>
      <c r="O17" s="4">
        <f>137-(19.2+56.9)</f>
        <v>60.900000000000006</v>
      </c>
      <c r="P17" s="4">
        <f>1264-19.2</f>
        <v>1244.8</v>
      </c>
      <c r="Q17" s="4">
        <v>0</v>
      </c>
      <c r="R17" s="4">
        <f>757-19.2</f>
        <v>737.8</v>
      </c>
      <c r="S17" s="4">
        <f>567-19.2</f>
        <v>547.8</v>
      </c>
      <c r="T17" s="4">
        <f>1267-19.2</f>
        <v>1247.8</v>
      </c>
      <c r="U17" s="4">
        <f>197-19.2</f>
        <v>177.8</v>
      </c>
      <c r="V17" s="4">
        <f>3662-19.2</f>
        <v>3642.8</v>
      </c>
      <c r="W17" s="4">
        <f>877-19.2</f>
        <v>857.8</v>
      </c>
      <c r="X17" s="4">
        <f>436-19.2</f>
        <v>416.8</v>
      </c>
      <c r="Y17" s="4">
        <f>675-19.2</f>
        <v>655.8</v>
      </c>
      <c r="Z17" s="4">
        <f>98.2-19.2</f>
        <v>79</v>
      </c>
      <c r="AA17" s="4">
        <f>258-19.2</f>
        <v>238.8</v>
      </c>
      <c r="AB17" s="4">
        <f>45.5-19.2</f>
        <v>26.3</v>
      </c>
      <c r="AC17" s="4">
        <f>89.4-19.2</f>
        <v>70.2</v>
      </c>
      <c r="AD17" s="4">
        <f>1840-(194+19.2)</f>
        <v>1626.8</v>
      </c>
      <c r="AE17" s="4">
        <v>990</v>
      </c>
      <c r="AF17" s="4">
        <f>85.9-(19.2+56.9)</f>
        <v>9.800000000000011</v>
      </c>
      <c r="AG17" s="4">
        <f>705-19.2</f>
        <v>685.8</v>
      </c>
      <c r="AH17" s="4">
        <f>204-(30.2+18.1)</f>
        <v>155.7</v>
      </c>
      <c r="AI17" s="4">
        <f>162-(30.2+18.1)</f>
        <v>113.7</v>
      </c>
      <c r="AJ17" s="4">
        <f>443-19.2</f>
        <v>423.8</v>
      </c>
      <c r="AK17" s="4">
        <v>574</v>
      </c>
      <c r="AL17" s="4">
        <f>95.5-19.2</f>
        <v>76.3</v>
      </c>
      <c r="AM17" s="4">
        <f>464-19.2</f>
        <v>444.8</v>
      </c>
      <c r="AN17" s="4">
        <f>828-19.2</f>
        <v>808.8</v>
      </c>
      <c r="AO17" s="4">
        <f>407-(30.2+18.1)</f>
        <v>358.7</v>
      </c>
      <c r="AP17" s="4">
        <f>126-18.1</f>
        <v>107.9</v>
      </c>
      <c r="AQ17" s="4">
        <f>1743-(194+19.2)</f>
        <v>1529.8</v>
      </c>
      <c r="AR17" s="4">
        <f>707-19.2</f>
        <v>687.8</v>
      </c>
      <c r="AS17" s="4">
        <f>610-19.2</f>
        <v>590.8</v>
      </c>
      <c r="AT17" s="4">
        <f>74.3-19.2</f>
        <v>55.099999999999994</v>
      </c>
      <c r="AU17" s="4">
        <f>398-19.2</f>
        <v>378.8</v>
      </c>
      <c r="AV17" s="4">
        <f>506-19.2</f>
        <v>486.8</v>
      </c>
      <c r="AW17" s="4">
        <f>139-(19.2+32.5)</f>
        <v>87.3</v>
      </c>
      <c r="AX17" s="4">
        <v>22.7</v>
      </c>
      <c r="AY17" s="4">
        <f>205-(19.2+56.9)</f>
        <v>128.9</v>
      </c>
      <c r="AZ17" s="4">
        <f>71.2-19.2</f>
        <v>52</v>
      </c>
      <c r="BA17" s="4">
        <f>81-19.2</f>
        <v>61.8</v>
      </c>
      <c r="BB17" s="4">
        <v>1172</v>
      </c>
      <c r="BC17" s="4">
        <f>1396-19.2</f>
        <v>1376.8</v>
      </c>
      <c r="BD17" s="4">
        <f>288-(19.2+56.9)</f>
        <v>211.9</v>
      </c>
      <c r="BE17" s="4">
        <f>447-19.2</f>
        <v>427.8</v>
      </c>
      <c r="BF17" s="4">
        <f>56.3-19.2</f>
        <v>37.099999999999994</v>
      </c>
      <c r="BG17" s="4">
        <f>921-19.2</f>
        <v>901.8</v>
      </c>
      <c r="BH17" s="4">
        <f>484-19.2</f>
        <v>464.8</v>
      </c>
      <c r="BI17" s="4">
        <f>199-(19.2+56.9)</f>
        <v>122.9</v>
      </c>
    </row>
    <row r="18" spans="1:61" ht="15">
      <c r="A18" s="3" t="s">
        <v>9</v>
      </c>
      <c r="B18" s="4">
        <v>710</v>
      </c>
      <c r="C18" s="4">
        <v>554</v>
      </c>
      <c r="D18" s="4">
        <v>644</v>
      </c>
      <c r="E18" s="4">
        <f>1137-56.9</f>
        <v>1080.1</v>
      </c>
      <c r="F18" s="4">
        <f>1210-(100+56.2)</f>
        <v>1053.8</v>
      </c>
      <c r="G18" s="4">
        <v>1048</v>
      </c>
      <c r="H18" s="4">
        <v>703</v>
      </c>
      <c r="I18" s="4">
        <f>784-(5.1+32.5)</f>
        <v>746.4</v>
      </c>
      <c r="J18" s="4">
        <v>614</v>
      </c>
      <c r="K18" s="4">
        <f>789-(5.1+32.5)</f>
        <v>751.4</v>
      </c>
      <c r="L18" s="4">
        <v>247</v>
      </c>
      <c r="M18" s="4">
        <v>352</v>
      </c>
      <c r="N18" s="4">
        <v>830</v>
      </c>
      <c r="O18" s="4">
        <f>789-(5.1+32.5)</f>
        <v>751.4</v>
      </c>
      <c r="P18" s="4">
        <v>907</v>
      </c>
      <c r="Q18" s="4">
        <f>757-19.2</f>
        <v>737.8</v>
      </c>
      <c r="R18" s="4">
        <v>0</v>
      </c>
      <c r="S18" s="4">
        <v>490</v>
      </c>
      <c r="T18" s="4">
        <v>1125</v>
      </c>
      <c r="U18" s="4">
        <v>562</v>
      </c>
      <c r="V18" s="4">
        <v>3422</v>
      </c>
      <c r="W18" s="4">
        <v>120</v>
      </c>
      <c r="X18" s="4">
        <v>346</v>
      </c>
      <c r="Y18" s="4">
        <v>475</v>
      </c>
      <c r="Z18" s="4">
        <v>668</v>
      </c>
      <c r="AA18" s="4">
        <v>529</v>
      </c>
      <c r="AB18" s="4">
        <v>714</v>
      </c>
      <c r="AC18" s="4">
        <v>677</v>
      </c>
      <c r="AD18" s="4">
        <f>1699-194</f>
        <v>1505</v>
      </c>
      <c r="AE18" s="4">
        <v>864</v>
      </c>
      <c r="AF18" s="4">
        <f>791-56.9</f>
        <v>734.1</v>
      </c>
      <c r="AG18" s="4">
        <v>398</v>
      </c>
      <c r="AH18" s="4">
        <f>941-56.9</f>
        <v>884.1</v>
      </c>
      <c r="AI18" s="4">
        <f>901-56.9</f>
        <v>844.1</v>
      </c>
      <c r="AJ18" s="4">
        <v>468</v>
      </c>
      <c r="AK18" s="4">
        <v>646</v>
      </c>
      <c r="AL18" s="4">
        <v>682</v>
      </c>
      <c r="AM18" s="4">
        <v>410</v>
      </c>
      <c r="AN18" s="4">
        <v>681</v>
      </c>
      <c r="AO18" s="4">
        <f>1137-56.9</f>
        <v>1080.1</v>
      </c>
      <c r="AP18" s="4">
        <f>881-(18.1+19.2)</f>
        <v>843.7</v>
      </c>
      <c r="AQ18" s="4">
        <f>1602-194</f>
        <v>1408</v>
      </c>
      <c r="AR18" s="4">
        <v>759</v>
      </c>
      <c r="AS18" s="4">
        <v>148</v>
      </c>
      <c r="AT18" s="4">
        <v>721</v>
      </c>
      <c r="AU18" s="4">
        <v>361</v>
      </c>
      <c r="AV18" s="4">
        <v>251</v>
      </c>
      <c r="AW18" s="4">
        <f>771-32.5</f>
        <v>738.5</v>
      </c>
      <c r="AX18" s="4">
        <f>777-19.2</f>
        <v>757.8</v>
      </c>
      <c r="AY18" s="4">
        <f>834-46.4</f>
        <v>787.6</v>
      </c>
      <c r="AZ18" s="4">
        <v>774</v>
      </c>
      <c r="BA18" s="4">
        <v>688</v>
      </c>
      <c r="BB18" s="4">
        <v>1050</v>
      </c>
      <c r="BC18" s="4">
        <v>1254</v>
      </c>
      <c r="BD18" s="4">
        <f>993-56.9</f>
        <v>936.1</v>
      </c>
      <c r="BE18" s="4">
        <v>335</v>
      </c>
      <c r="BF18" s="4">
        <v>720</v>
      </c>
      <c r="BG18" s="4">
        <v>779</v>
      </c>
      <c r="BH18" s="4">
        <v>296</v>
      </c>
      <c r="BI18" s="4">
        <f>800-46.4</f>
        <v>753.6</v>
      </c>
    </row>
    <row r="19" spans="1:61" ht="15">
      <c r="A19" s="3" t="s">
        <v>10</v>
      </c>
      <c r="B19" s="4">
        <v>520</v>
      </c>
      <c r="C19" s="4">
        <v>557</v>
      </c>
      <c r="D19" s="4">
        <v>454</v>
      </c>
      <c r="E19" s="4">
        <f>947-56.9</f>
        <v>890.1</v>
      </c>
      <c r="F19" s="4">
        <f>1213-(100+56.2)</f>
        <v>1056.8</v>
      </c>
      <c r="G19" s="4">
        <v>1050</v>
      </c>
      <c r="H19" s="4">
        <v>513</v>
      </c>
      <c r="I19" s="4">
        <f>594-(5.1+32.5)</f>
        <v>556.4</v>
      </c>
      <c r="J19" s="4">
        <v>424</v>
      </c>
      <c r="K19" s="4">
        <f>599-(5.1+32.5)</f>
        <v>561.4</v>
      </c>
      <c r="L19" s="4">
        <v>320</v>
      </c>
      <c r="M19" s="4">
        <v>214</v>
      </c>
      <c r="N19" s="4">
        <v>1285</v>
      </c>
      <c r="O19" s="4">
        <f>599-(5.1+32.5)</f>
        <v>561.4</v>
      </c>
      <c r="P19" s="4">
        <v>1319</v>
      </c>
      <c r="Q19" s="4">
        <f>567-19.2</f>
        <v>547.8</v>
      </c>
      <c r="R19" s="4">
        <v>490</v>
      </c>
      <c r="S19" s="4">
        <v>0</v>
      </c>
      <c r="T19" s="4">
        <v>1323</v>
      </c>
      <c r="U19" s="4">
        <v>371</v>
      </c>
      <c r="V19" s="4">
        <v>3718</v>
      </c>
      <c r="W19" s="4">
        <v>454</v>
      </c>
      <c r="X19" s="4">
        <v>208</v>
      </c>
      <c r="Y19" s="4">
        <v>108</v>
      </c>
      <c r="Z19" s="4">
        <v>478</v>
      </c>
      <c r="AA19" s="4">
        <v>497</v>
      </c>
      <c r="AB19" s="4">
        <v>524</v>
      </c>
      <c r="AC19" s="4">
        <v>487</v>
      </c>
      <c r="AD19" s="4">
        <f>1896-194</f>
        <v>1702</v>
      </c>
      <c r="AE19" s="4">
        <v>1063</v>
      </c>
      <c r="AF19" s="4">
        <f>601-56.9</f>
        <v>544.1</v>
      </c>
      <c r="AG19" s="4">
        <v>137</v>
      </c>
      <c r="AH19" s="4">
        <f>751-56.9</f>
        <v>694.1</v>
      </c>
      <c r="AI19" s="4">
        <f>711-56.9</f>
        <v>654.1</v>
      </c>
      <c r="AJ19" s="4">
        <v>125</v>
      </c>
      <c r="AK19" s="4">
        <v>649</v>
      </c>
      <c r="AL19" s="4">
        <v>492</v>
      </c>
      <c r="AM19" s="4">
        <v>186</v>
      </c>
      <c r="AN19" s="4">
        <v>882</v>
      </c>
      <c r="AO19" s="4">
        <f>947-56.9</f>
        <v>890.1</v>
      </c>
      <c r="AP19" s="4">
        <f>691-(18.1+19.2)</f>
        <v>653.7</v>
      </c>
      <c r="AQ19" s="4">
        <f>1799-194</f>
        <v>1605</v>
      </c>
      <c r="AR19" s="4">
        <v>761</v>
      </c>
      <c r="AS19" s="4">
        <v>343</v>
      </c>
      <c r="AT19" s="4">
        <v>531</v>
      </c>
      <c r="AU19" s="4">
        <v>363</v>
      </c>
      <c r="AV19" s="4">
        <v>307</v>
      </c>
      <c r="AW19" s="4">
        <f>581-32.5</f>
        <v>548.5</v>
      </c>
      <c r="AX19" s="4">
        <f>587-19.2</f>
        <v>567.8</v>
      </c>
      <c r="AY19" s="4">
        <f>644-46.4</f>
        <v>597.6</v>
      </c>
      <c r="AZ19" s="4">
        <v>584</v>
      </c>
      <c r="BA19" s="4">
        <v>498</v>
      </c>
      <c r="BB19" s="4">
        <v>1247</v>
      </c>
      <c r="BC19" s="4">
        <v>1456</v>
      </c>
      <c r="BD19" s="4">
        <f>803-56.9</f>
        <v>746.1</v>
      </c>
      <c r="BE19" s="4">
        <v>206</v>
      </c>
      <c r="BF19" s="4">
        <v>530</v>
      </c>
      <c r="BG19" s="4">
        <v>976</v>
      </c>
      <c r="BH19" s="4">
        <v>246</v>
      </c>
      <c r="BI19" s="4">
        <f>610-46.4</f>
        <v>563.6</v>
      </c>
    </row>
    <row r="20" spans="1:61" ht="15">
      <c r="A20" s="3" t="s">
        <v>11</v>
      </c>
      <c r="B20" s="4">
        <v>1220</v>
      </c>
      <c r="C20" s="4">
        <v>766</v>
      </c>
      <c r="D20" s="4">
        <v>1154</v>
      </c>
      <c r="E20" s="4">
        <f>845-510</f>
        <v>335</v>
      </c>
      <c r="F20" s="4">
        <f>617-325</f>
        <v>292</v>
      </c>
      <c r="G20" s="4">
        <v>1131</v>
      </c>
      <c r="H20" s="4">
        <v>1213</v>
      </c>
      <c r="I20" s="4">
        <f>1293-(5.1+32.5)</f>
        <v>1255.4</v>
      </c>
      <c r="J20" s="4">
        <v>1124</v>
      </c>
      <c r="K20" s="4">
        <f>1299-(5.1+32.5)</f>
        <v>1261.4</v>
      </c>
      <c r="L20" s="4">
        <v>1321</v>
      </c>
      <c r="M20" s="4">
        <v>1426</v>
      </c>
      <c r="N20" s="4">
        <v>849</v>
      </c>
      <c r="O20" s="4">
        <f>1299-(5.1+32.5)</f>
        <v>1261.4</v>
      </c>
      <c r="P20" s="4">
        <v>881</v>
      </c>
      <c r="Q20" s="4">
        <f>1267-19.2</f>
        <v>1247.8</v>
      </c>
      <c r="R20" s="4">
        <v>1125</v>
      </c>
      <c r="S20" s="4">
        <v>1323</v>
      </c>
      <c r="T20" s="4">
        <v>0</v>
      </c>
      <c r="U20" s="4">
        <v>1070</v>
      </c>
      <c r="V20" s="4">
        <v>2410</v>
      </c>
      <c r="W20" s="4">
        <v>1194</v>
      </c>
      <c r="X20" s="4">
        <v>1119</v>
      </c>
      <c r="Y20" s="4">
        <v>1431</v>
      </c>
      <c r="Z20" s="4">
        <v>1178</v>
      </c>
      <c r="AA20" s="4">
        <v>943</v>
      </c>
      <c r="AB20" s="4">
        <v>1224</v>
      </c>
      <c r="AC20" s="4">
        <v>1172</v>
      </c>
      <c r="AD20" s="4">
        <f>589-194</f>
        <v>395</v>
      </c>
      <c r="AE20" s="4">
        <v>628</v>
      </c>
      <c r="AF20" s="4">
        <f>1301-56.9</f>
        <v>1244.1</v>
      </c>
      <c r="AG20" s="4">
        <v>1416</v>
      </c>
      <c r="AH20" s="4">
        <f>1451-56.9</f>
        <v>1394.1</v>
      </c>
      <c r="AI20" s="4">
        <f>1410-56.9</f>
        <v>1353.1</v>
      </c>
      <c r="AJ20" s="4">
        <v>1195</v>
      </c>
      <c r="AK20" s="4">
        <v>679</v>
      </c>
      <c r="AL20" s="4">
        <v>1192</v>
      </c>
      <c r="AM20" s="4">
        <v>1149</v>
      </c>
      <c r="AN20" s="4">
        <v>445</v>
      </c>
      <c r="AO20" s="4">
        <f>845-510</f>
        <v>335</v>
      </c>
      <c r="AP20" s="4">
        <f>1390-(18.1+19.2)</f>
        <v>1352.7</v>
      </c>
      <c r="AQ20" s="4">
        <f>492-194</f>
        <v>298</v>
      </c>
      <c r="AR20" s="4">
        <v>561</v>
      </c>
      <c r="AS20" s="4">
        <v>1172</v>
      </c>
      <c r="AT20" s="4">
        <v>1231</v>
      </c>
      <c r="AU20" s="4">
        <v>960</v>
      </c>
      <c r="AV20" s="4">
        <v>1068</v>
      </c>
      <c r="AW20" s="4">
        <f>1281-32.5</f>
        <v>1248.5</v>
      </c>
      <c r="AX20" s="4">
        <f>1287-19.2</f>
        <v>1267.8</v>
      </c>
      <c r="AY20" s="4">
        <f>1344-46.4</f>
        <v>1297.6</v>
      </c>
      <c r="AZ20" s="4">
        <v>1130</v>
      </c>
      <c r="BA20" s="4">
        <v>1197</v>
      </c>
      <c r="BB20" s="4">
        <v>75</v>
      </c>
      <c r="BC20" s="4">
        <v>144</v>
      </c>
      <c r="BD20" s="4">
        <f>1503-56.9</f>
        <v>1446.1</v>
      </c>
      <c r="BE20" s="4">
        <v>1117</v>
      </c>
      <c r="BF20" s="4">
        <v>1230</v>
      </c>
      <c r="BG20" s="4">
        <v>346</v>
      </c>
      <c r="BH20" s="4">
        <v>1078</v>
      </c>
      <c r="BI20" s="4">
        <f>1310-46.4</f>
        <v>1263.6</v>
      </c>
    </row>
    <row r="21" spans="1:61" ht="15">
      <c r="A21" s="3" t="s">
        <v>12</v>
      </c>
      <c r="B21" s="4">
        <v>150</v>
      </c>
      <c r="C21" s="4">
        <v>305</v>
      </c>
      <c r="D21" s="4">
        <v>83.6</v>
      </c>
      <c r="E21" s="4">
        <f>576-56.9</f>
        <v>519.1</v>
      </c>
      <c r="F21" s="4">
        <f>961-(100+56.2)</f>
        <v>804.8</v>
      </c>
      <c r="G21" s="4">
        <v>799</v>
      </c>
      <c r="H21" s="4">
        <v>143</v>
      </c>
      <c r="I21" s="4">
        <f>223-(5.1+32.5)</f>
        <v>185.4</v>
      </c>
      <c r="J21" s="4">
        <v>54.3</v>
      </c>
      <c r="K21" s="4">
        <f>229-(5.1+32.5)</f>
        <v>191.4</v>
      </c>
      <c r="L21" s="4">
        <v>691</v>
      </c>
      <c r="M21" s="4">
        <v>585</v>
      </c>
      <c r="N21" s="4">
        <v>1035</v>
      </c>
      <c r="O21" s="4">
        <f>229-(5.1+32.5)</f>
        <v>191.4</v>
      </c>
      <c r="P21" s="4">
        <v>1067</v>
      </c>
      <c r="Q21" s="4">
        <f>197-19.2</f>
        <v>177.8</v>
      </c>
      <c r="R21" s="4">
        <v>562</v>
      </c>
      <c r="S21" s="4">
        <v>371</v>
      </c>
      <c r="T21" s="4">
        <v>1070</v>
      </c>
      <c r="U21" s="4">
        <v>0</v>
      </c>
      <c r="V21" s="4">
        <v>3466</v>
      </c>
      <c r="W21" s="4">
        <v>681</v>
      </c>
      <c r="X21" s="4">
        <v>240</v>
      </c>
      <c r="Y21" s="4">
        <v>479</v>
      </c>
      <c r="Z21" s="4">
        <v>108</v>
      </c>
      <c r="AA21" s="4">
        <v>172</v>
      </c>
      <c r="AB21" s="4">
        <v>154</v>
      </c>
      <c r="AC21" s="4">
        <v>107</v>
      </c>
      <c r="AD21" s="4">
        <f>1644-194</f>
        <v>1450</v>
      </c>
      <c r="AE21" s="4">
        <v>813</v>
      </c>
      <c r="AF21" s="4">
        <f>231-56.9</f>
        <v>174.1</v>
      </c>
      <c r="AG21" s="4">
        <v>508</v>
      </c>
      <c r="AH21" s="4">
        <f>381-56.9</f>
        <v>324.1</v>
      </c>
      <c r="AI21" s="4">
        <f>340-56.9</f>
        <v>283.1</v>
      </c>
      <c r="AJ21" s="4">
        <v>247</v>
      </c>
      <c r="AK21" s="4">
        <v>397</v>
      </c>
      <c r="AL21" s="4">
        <v>122</v>
      </c>
      <c r="AM21" s="4">
        <v>243</v>
      </c>
      <c r="AN21" s="4">
        <v>631</v>
      </c>
      <c r="AO21" s="4">
        <f>576-56.9</f>
        <v>519.1</v>
      </c>
      <c r="AP21" s="4">
        <f>320-(18.1+19.2)</f>
        <v>282.7</v>
      </c>
      <c r="AQ21" s="4">
        <f>1547-194</f>
        <v>1353</v>
      </c>
      <c r="AR21" s="4">
        <v>510</v>
      </c>
      <c r="AS21" s="4">
        <v>414</v>
      </c>
      <c r="AT21" s="4">
        <v>161</v>
      </c>
      <c r="AU21" s="4">
        <v>203</v>
      </c>
      <c r="AV21" s="4">
        <v>311</v>
      </c>
      <c r="AW21" s="4">
        <f>211-32.5</f>
        <v>178.5</v>
      </c>
      <c r="AX21" s="4">
        <f>217-19.2</f>
        <v>197.8</v>
      </c>
      <c r="AY21" s="4">
        <f>274-46.4</f>
        <v>227.6</v>
      </c>
      <c r="AZ21" s="4">
        <v>214</v>
      </c>
      <c r="BA21" s="4">
        <v>128</v>
      </c>
      <c r="BB21" s="4">
        <v>996</v>
      </c>
      <c r="BC21" s="4">
        <v>1204</v>
      </c>
      <c r="BD21" s="4">
        <f>433-56.9</f>
        <v>376.1</v>
      </c>
      <c r="BE21" s="4">
        <v>251</v>
      </c>
      <c r="BF21" s="4">
        <v>160</v>
      </c>
      <c r="BG21" s="4">
        <v>724</v>
      </c>
      <c r="BH21" s="4">
        <v>288</v>
      </c>
      <c r="BI21" s="4">
        <f>240-46.4</f>
        <v>193.6</v>
      </c>
    </row>
    <row r="22" spans="1:61" ht="15">
      <c r="A22" s="3" t="s">
        <v>13</v>
      </c>
      <c r="B22" s="4">
        <v>3725</v>
      </c>
      <c r="C22" s="4">
        <v>3161</v>
      </c>
      <c r="D22" s="4">
        <v>3549</v>
      </c>
      <c r="E22" s="4">
        <f>3154-510</f>
        <v>2644</v>
      </c>
      <c r="F22" s="4">
        <f>2926-325</f>
        <v>2601</v>
      </c>
      <c r="G22" s="4">
        <v>3526</v>
      </c>
      <c r="H22" s="4">
        <v>3608</v>
      </c>
      <c r="I22" s="4">
        <f>3689-(5.1+32.5)</f>
        <v>3651.4</v>
      </c>
      <c r="J22" s="4">
        <v>3519</v>
      </c>
      <c r="K22" s="4">
        <f>3695-(5.1+32.5)</f>
        <v>3657.4</v>
      </c>
      <c r="L22" s="4">
        <v>3618</v>
      </c>
      <c r="M22" s="4">
        <v>3723</v>
      </c>
      <c r="N22" s="4">
        <v>2591</v>
      </c>
      <c r="O22" s="4">
        <f>3695-(5.1+32.5)</f>
        <v>3657.4</v>
      </c>
      <c r="P22" s="4">
        <v>2519</v>
      </c>
      <c r="Q22" s="4">
        <f>3662-19.2</f>
        <v>3642.8</v>
      </c>
      <c r="R22" s="4">
        <v>3422</v>
      </c>
      <c r="S22" s="4">
        <v>3718</v>
      </c>
      <c r="T22" s="4">
        <v>2410</v>
      </c>
      <c r="U22" s="4">
        <v>3466</v>
      </c>
      <c r="V22" s="4">
        <v>0</v>
      </c>
      <c r="W22" s="4">
        <v>3491</v>
      </c>
      <c r="X22" s="4">
        <f>3514</f>
        <v>3514</v>
      </c>
      <c r="Y22" s="4">
        <v>3826</v>
      </c>
      <c r="Z22" s="4">
        <v>3573</v>
      </c>
      <c r="AA22" s="4">
        <v>3338</v>
      </c>
      <c r="AB22" s="4">
        <v>3619</v>
      </c>
      <c r="AC22" s="4">
        <v>3567</v>
      </c>
      <c r="AD22" s="4">
        <f>2898-194</f>
        <v>2704</v>
      </c>
      <c r="AE22" s="4">
        <v>2820</v>
      </c>
      <c r="AF22" s="4">
        <f>3696-56.9</f>
        <v>3639.1</v>
      </c>
      <c r="AG22" s="4">
        <v>3847</v>
      </c>
      <c r="AH22" s="4">
        <f>3846-56.9</f>
        <v>3789.1</v>
      </c>
      <c r="AI22" s="4">
        <f>3806-56.9</f>
        <v>3749.1</v>
      </c>
      <c r="AJ22" s="4">
        <v>3591</v>
      </c>
      <c r="AK22" s="4">
        <v>3074</v>
      </c>
      <c r="AL22" s="4">
        <v>3587</v>
      </c>
      <c r="AM22" s="4">
        <v>3544</v>
      </c>
      <c r="AN22" s="4">
        <v>2840</v>
      </c>
      <c r="AO22" s="4">
        <f>3154-510</f>
        <v>2644</v>
      </c>
      <c r="AP22" s="4">
        <f>3786-(18.1+19.2)</f>
        <v>3748.7</v>
      </c>
      <c r="AQ22" s="4">
        <f>2801-194</f>
        <v>2607</v>
      </c>
      <c r="AR22" s="4">
        <v>2956</v>
      </c>
      <c r="AS22" s="4">
        <v>3566</v>
      </c>
      <c r="AT22" s="4">
        <v>3626</v>
      </c>
      <c r="AU22" s="4">
        <v>3355</v>
      </c>
      <c r="AV22" s="4">
        <v>3463</v>
      </c>
      <c r="AW22" s="4">
        <f>3676-32.5</f>
        <v>3643.5</v>
      </c>
      <c r="AX22" s="4">
        <f>3682-19.2</f>
        <v>3662.8</v>
      </c>
      <c r="AY22" s="4">
        <f>3739-46.4</f>
        <v>3692.6</v>
      </c>
      <c r="AZ22" s="4">
        <v>3525</v>
      </c>
      <c r="BA22" s="4">
        <v>3593</v>
      </c>
      <c r="BB22" s="4">
        <v>2470</v>
      </c>
      <c r="BC22" s="4">
        <v>2453</v>
      </c>
      <c r="BD22" s="4">
        <f>3898-56.9</f>
        <v>3841.1</v>
      </c>
      <c r="BE22" s="4">
        <v>3512</v>
      </c>
      <c r="BF22" s="4">
        <v>3625</v>
      </c>
      <c r="BG22" s="4">
        <v>2741</v>
      </c>
      <c r="BH22" s="4">
        <f>3473</f>
        <v>3473</v>
      </c>
      <c r="BI22" s="4">
        <f>3705-46.4</f>
        <v>3658.6</v>
      </c>
    </row>
    <row r="23" spans="1:61" ht="15">
      <c r="A23" s="3" t="s">
        <v>14</v>
      </c>
      <c r="B23" s="4">
        <v>830</v>
      </c>
      <c r="C23" s="4">
        <v>674</v>
      </c>
      <c r="D23" s="4">
        <v>763</v>
      </c>
      <c r="E23" s="4">
        <f>1256-56.9</f>
        <v>1199.1</v>
      </c>
      <c r="F23" s="4">
        <f>1330-(100+56.2)</f>
        <v>1173.8</v>
      </c>
      <c r="G23" s="4">
        <v>1167</v>
      </c>
      <c r="H23" s="4">
        <v>823</v>
      </c>
      <c r="I23" s="4">
        <f>903-(5.1+32.5)</f>
        <v>865.4</v>
      </c>
      <c r="J23" s="4">
        <v>734</v>
      </c>
      <c r="K23" s="4">
        <f>909-(5.1+32.5)</f>
        <v>871.4</v>
      </c>
      <c r="L23" s="4">
        <v>134</v>
      </c>
      <c r="M23" s="4">
        <v>239</v>
      </c>
      <c r="N23" s="4">
        <v>899</v>
      </c>
      <c r="O23" s="4">
        <f>909-(5.1+32.5)</f>
        <v>871.4</v>
      </c>
      <c r="P23" s="4">
        <v>976</v>
      </c>
      <c r="Q23" s="4">
        <f>877-19.2</f>
        <v>857.8</v>
      </c>
      <c r="R23" s="4">
        <v>120</v>
      </c>
      <c r="S23" s="4">
        <v>454</v>
      </c>
      <c r="T23" s="4">
        <v>1194</v>
      </c>
      <c r="U23" s="4">
        <v>681</v>
      </c>
      <c r="V23" s="4">
        <v>3491</v>
      </c>
      <c r="W23" s="4">
        <v>0</v>
      </c>
      <c r="X23" s="4">
        <v>465</v>
      </c>
      <c r="Y23" s="4">
        <v>362</v>
      </c>
      <c r="Z23" s="4">
        <v>788</v>
      </c>
      <c r="AA23" s="4">
        <v>649</v>
      </c>
      <c r="AB23" s="4">
        <v>834</v>
      </c>
      <c r="AC23" s="4">
        <v>797</v>
      </c>
      <c r="AD23" s="4">
        <f>1768-194</f>
        <v>1574</v>
      </c>
      <c r="AE23" s="4">
        <v>932</v>
      </c>
      <c r="AF23" s="4">
        <f>911-56.9</f>
        <v>854.1</v>
      </c>
      <c r="AG23" s="4">
        <v>363</v>
      </c>
      <c r="AH23" s="4">
        <f>1061-56.9</f>
        <v>1004.1</v>
      </c>
      <c r="AI23" s="4">
        <f>1020-56.9</f>
        <v>963.1</v>
      </c>
      <c r="AJ23" s="4">
        <v>578</v>
      </c>
      <c r="AK23" s="4">
        <v>766</v>
      </c>
      <c r="AL23" s="4">
        <v>801</v>
      </c>
      <c r="AM23" s="4">
        <v>530</v>
      </c>
      <c r="AN23" s="4">
        <v>750</v>
      </c>
      <c r="AO23" s="4">
        <f>1256-56.9</f>
        <v>1199.1</v>
      </c>
      <c r="AP23" s="4">
        <f>1000-(18.1+19.2)</f>
        <v>962.7</v>
      </c>
      <c r="AQ23" s="4">
        <f>1670-194</f>
        <v>1476</v>
      </c>
      <c r="AR23" s="4">
        <v>859</v>
      </c>
      <c r="AS23" s="4">
        <v>268</v>
      </c>
      <c r="AT23" s="4">
        <v>840</v>
      </c>
      <c r="AU23" s="4">
        <v>480</v>
      </c>
      <c r="AV23" s="4">
        <v>370</v>
      </c>
      <c r="AW23" s="4">
        <f>891-32.5</f>
        <v>858.5</v>
      </c>
      <c r="AX23" s="4">
        <f>897-19.2</f>
        <v>877.8</v>
      </c>
      <c r="AY23" s="4">
        <f>954-46.4</f>
        <v>907.6</v>
      </c>
      <c r="AZ23" s="4">
        <v>894</v>
      </c>
      <c r="BA23" s="4">
        <v>807</v>
      </c>
      <c r="BB23" s="4">
        <v>1119</v>
      </c>
      <c r="BC23" s="4">
        <v>1322</v>
      </c>
      <c r="BD23" s="4">
        <f>1113-56.9</f>
        <v>1056.1</v>
      </c>
      <c r="BE23" s="4">
        <v>455</v>
      </c>
      <c r="BF23" s="4">
        <v>839</v>
      </c>
      <c r="BG23" s="4">
        <v>848</v>
      </c>
      <c r="BH23" s="4">
        <v>415</v>
      </c>
      <c r="BI23" s="4">
        <f>920-46.4</f>
        <v>873.6</v>
      </c>
    </row>
    <row r="24" spans="1:61" ht="15">
      <c r="A24" s="3" t="s">
        <v>41</v>
      </c>
      <c r="B24" s="4">
        <v>389</v>
      </c>
      <c r="C24" s="4">
        <v>354</v>
      </c>
      <c r="D24" s="4">
        <v>322</v>
      </c>
      <c r="E24" s="4">
        <f>815-56.9</f>
        <v>758.1</v>
      </c>
      <c r="F24" s="4">
        <f>1010-(100+56.2)</f>
        <v>853.8</v>
      </c>
      <c r="G24" s="4">
        <v>854</v>
      </c>
      <c r="H24" s="4">
        <v>383</v>
      </c>
      <c r="I24" s="4">
        <f>462-(5.1+32.5)</f>
        <v>424.4</v>
      </c>
      <c r="J24" s="4">
        <v>293</v>
      </c>
      <c r="K24" s="4">
        <f>468-(32.5+5.1)</f>
        <v>430.4</v>
      </c>
      <c r="L24" s="4">
        <v>528</v>
      </c>
      <c r="M24" s="4">
        <v>422</v>
      </c>
      <c r="N24" s="4">
        <v>1084</v>
      </c>
      <c r="O24" s="4">
        <f>468-(32.5+5.1)</f>
        <v>430.4</v>
      </c>
      <c r="P24" s="4">
        <v>1116</v>
      </c>
      <c r="Q24" s="4">
        <f>436-19.2</f>
        <v>416.8</v>
      </c>
      <c r="R24" s="4">
        <v>346</v>
      </c>
      <c r="S24" s="4">
        <v>208</v>
      </c>
      <c r="T24" s="4">
        <v>1119</v>
      </c>
      <c r="U24" s="4">
        <v>240</v>
      </c>
      <c r="V24" s="4">
        <f>3514</f>
        <v>3514</v>
      </c>
      <c r="W24" s="4">
        <v>465</v>
      </c>
      <c r="X24" s="4">
        <v>0</v>
      </c>
      <c r="Y24" s="4">
        <v>316</v>
      </c>
      <c r="Z24" s="4">
        <v>351</v>
      </c>
      <c r="AA24" s="4">
        <v>290</v>
      </c>
      <c r="AB24" s="4">
        <v>392</v>
      </c>
      <c r="AC24" s="4">
        <v>355</v>
      </c>
      <c r="AD24" s="4">
        <f>1694-194</f>
        <v>1500</v>
      </c>
      <c r="AE24" s="4">
        <v>862</v>
      </c>
      <c r="AF24" s="4">
        <f>470-56.9</f>
        <v>413.1</v>
      </c>
      <c r="AG24" s="4">
        <v>346</v>
      </c>
      <c r="AH24" s="4">
        <f>621-56.9</f>
        <v>564.1</v>
      </c>
      <c r="AI24" s="4">
        <f>581-56.9</f>
        <v>524.1</v>
      </c>
      <c r="AJ24" s="4">
        <v>124</v>
      </c>
      <c r="AK24" s="4">
        <v>445</v>
      </c>
      <c r="AL24" s="4">
        <v>360</v>
      </c>
      <c r="AM24" s="4">
        <v>66</v>
      </c>
      <c r="AN24" s="4">
        <v>680</v>
      </c>
      <c r="AO24" s="4">
        <f>815-56.9</f>
        <v>758.1</v>
      </c>
      <c r="AP24" s="4">
        <f>559-(18.1+19.2)</f>
        <v>521.7</v>
      </c>
      <c r="AQ24" s="4">
        <f>1596-194</f>
        <v>1402</v>
      </c>
      <c r="AR24" s="4">
        <v>559</v>
      </c>
      <c r="AS24" s="4">
        <v>198</v>
      </c>
      <c r="AT24" s="4">
        <v>399</v>
      </c>
      <c r="AU24" s="4">
        <v>210</v>
      </c>
      <c r="AV24" s="4">
        <v>112</v>
      </c>
      <c r="AW24" s="4">
        <f>449-32.5</f>
        <v>416.5</v>
      </c>
      <c r="AX24" s="4">
        <f>456-19.2</f>
        <v>436.8</v>
      </c>
      <c r="AY24" s="4">
        <f>512-46.4</f>
        <v>465.6</v>
      </c>
      <c r="AZ24" s="4">
        <v>453</v>
      </c>
      <c r="BA24" s="4">
        <v>366</v>
      </c>
      <c r="BB24" s="4">
        <v>1044</v>
      </c>
      <c r="BC24" s="4">
        <v>1248</v>
      </c>
      <c r="BD24" s="4">
        <f>671-56.9</f>
        <v>614.1</v>
      </c>
      <c r="BE24" s="4">
        <v>13</v>
      </c>
      <c r="BF24" s="4">
        <v>397</v>
      </c>
      <c r="BG24" s="4">
        <v>773</v>
      </c>
      <c r="BH24" s="4">
        <v>50</v>
      </c>
      <c r="BI24" s="4">
        <f>479-46.4</f>
        <v>432.6</v>
      </c>
    </row>
    <row r="25" spans="1:61" ht="15">
      <c r="A25" s="3" t="s">
        <v>57</v>
      </c>
      <c r="B25" s="4">
        <v>628</v>
      </c>
      <c r="C25" s="4">
        <v>664</v>
      </c>
      <c r="D25" s="4">
        <v>561</v>
      </c>
      <c r="E25" s="4">
        <f>1054-56.9</f>
        <v>997.1</v>
      </c>
      <c r="F25" s="4">
        <f>1320-(100+56.2)</f>
        <v>1163.8</v>
      </c>
      <c r="G25" s="4">
        <v>1159</v>
      </c>
      <c r="H25" s="4">
        <v>622</v>
      </c>
      <c r="I25" s="4">
        <f>701-(5.1+32.5)</f>
        <v>663.4</v>
      </c>
      <c r="J25" s="4">
        <v>532</v>
      </c>
      <c r="K25" s="4">
        <f>705-(32.5+5.1)</f>
        <v>667.4</v>
      </c>
      <c r="L25" s="4">
        <v>229</v>
      </c>
      <c r="M25" s="4">
        <v>123</v>
      </c>
      <c r="N25" s="4">
        <v>1255</v>
      </c>
      <c r="O25" s="4">
        <f>705-(32.5+5.1)</f>
        <v>667.4</v>
      </c>
      <c r="P25" s="4">
        <v>1332</v>
      </c>
      <c r="Q25" s="4">
        <f>675-19.2</f>
        <v>655.8</v>
      </c>
      <c r="R25" s="4">
        <v>475</v>
      </c>
      <c r="S25" s="4">
        <v>108</v>
      </c>
      <c r="T25" s="4">
        <v>1431</v>
      </c>
      <c r="U25" s="4">
        <v>479</v>
      </c>
      <c r="V25" s="4">
        <v>3826</v>
      </c>
      <c r="W25" s="4">
        <v>362</v>
      </c>
      <c r="X25" s="4">
        <v>316</v>
      </c>
      <c r="Y25" s="4">
        <v>0</v>
      </c>
      <c r="Z25" s="4">
        <v>591</v>
      </c>
      <c r="AA25" s="4">
        <v>598</v>
      </c>
      <c r="AB25" s="4">
        <v>631</v>
      </c>
      <c r="AC25" s="4">
        <v>595</v>
      </c>
      <c r="AD25" s="4">
        <f>2004-194</f>
        <v>1810</v>
      </c>
      <c r="AE25" s="4">
        <v>1093</v>
      </c>
      <c r="AF25" s="4">
        <f>709-56.9</f>
        <v>652.1</v>
      </c>
      <c r="AG25" s="4">
        <v>70.3</v>
      </c>
      <c r="AH25" s="4">
        <f>820-56.9</f>
        <v>763.1</v>
      </c>
      <c r="AI25" s="4">
        <f>860-56.9</f>
        <v>803.1</v>
      </c>
      <c r="AJ25" s="4">
        <v>232</v>
      </c>
      <c r="AK25" s="4">
        <v>743</v>
      </c>
      <c r="AL25" s="4">
        <v>599</v>
      </c>
      <c r="AM25" s="4">
        <v>294</v>
      </c>
      <c r="AN25" s="4">
        <v>991</v>
      </c>
      <c r="AO25" s="4">
        <f>1054-56.9</f>
        <v>997.1</v>
      </c>
      <c r="AP25" s="4">
        <f>798-(18.1+19.2)</f>
        <v>760.7</v>
      </c>
      <c r="AQ25" s="4">
        <f>1906-194</f>
        <v>1712</v>
      </c>
      <c r="AR25" s="4">
        <v>870</v>
      </c>
      <c r="AS25" s="4">
        <v>277</v>
      </c>
      <c r="AT25" s="4">
        <v>638</v>
      </c>
      <c r="AU25" s="4">
        <v>472</v>
      </c>
      <c r="AV25" s="4">
        <v>374</v>
      </c>
      <c r="AW25" s="4">
        <f>688-32.5</f>
        <v>655.5</v>
      </c>
      <c r="AX25" s="4">
        <f>695-19.2</f>
        <v>675.8</v>
      </c>
      <c r="AY25" s="4">
        <f>752-46.4</f>
        <v>705.6</v>
      </c>
      <c r="AZ25" s="4">
        <v>692</v>
      </c>
      <c r="BA25" s="4">
        <v>605</v>
      </c>
      <c r="BB25" s="4">
        <v>1353</v>
      </c>
      <c r="BC25" s="4">
        <v>1560</v>
      </c>
      <c r="BD25" s="4">
        <f>910-56.9</f>
        <v>853.1</v>
      </c>
      <c r="BE25" s="4">
        <v>314</v>
      </c>
      <c r="BF25" s="4">
        <v>636</v>
      </c>
      <c r="BG25" s="4">
        <v>1083</v>
      </c>
      <c r="BH25" s="4">
        <v>354</v>
      </c>
      <c r="BI25" s="4">
        <f>718-46.4</f>
        <v>671.6</v>
      </c>
    </row>
    <row r="26" spans="1:61" ht="15">
      <c r="A26" s="3" t="s">
        <v>51</v>
      </c>
      <c r="B26" s="4">
        <v>51</v>
      </c>
      <c r="C26" s="4">
        <v>417</v>
      </c>
      <c r="D26" s="4">
        <v>30</v>
      </c>
      <c r="E26" s="4">
        <f>477-56.9</f>
        <v>420.1</v>
      </c>
      <c r="F26" s="4">
        <f>1073-(100+56.2)</f>
        <v>916.8</v>
      </c>
      <c r="G26" s="4">
        <v>911</v>
      </c>
      <c r="H26" s="4">
        <v>44</v>
      </c>
      <c r="I26" s="4">
        <f>114-(5.1+32.5)</f>
        <v>76.4</v>
      </c>
      <c r="J26" s="4">
        <v>64</v>
      </c>
      <c r="K26" s="4">
        <f>120-(32.5+5.1)</f>
        <v>82.4</v>
      </c>
      <c r="L26" s="4">
        <v>798</v>
      </c>
      <c r="M26" s="4">
        <v>692</v>
      </c>
      <c r="N26" s="4">
        <v>1147</v>
      </c>
      <c r="O26" s="4">
        <f>120-(32.5+5.1)</f>
        <v>82.4</v>
      </c>
      <c r="P26" s="4">
        <v>1179</v>
      </c>
      <c r="Q26" s="4">
        <f>98.2-19.2</f>
        <v>79</v>
      </c>
      <c r="R26" s="4">
        <v>668</v>
      </c>
      <c r="S26" s="4">
        <v>478</v>
      </c>
      <c r="T26" s="4">
        <v>1178</v>
      </c>
      <c r="U26" s="4">
        <v>108</v>
      </c>
      <c r="V26" s="4">
        <v>3573</v>
      </c>
      <c r="W26" s="4">
        <v>788</v>
      </c>
      <c r="X26" s="4">
        <v>351</v>
      </c>
      <c r="Y26" s="4">
        <v>591</v>
      </c>
      <c r="Z26" s="4">
        <v>0</v>
      </c>
      <c r="AA26" s="4">
        <v>279</v>
      </c>
      <c r="AB26" s="4">
        <v>55</v>
      </c>
      <c r="AC26" s="4">
        <v>25.9</v>
      </c>
      <c r="AD26" s="4">
        <f>1757-194</f>
        <v>1563</v>
      </c>
      <c r="AE26" s="4">
        <v>927</v>
      </c>
      <c r="AF26" s="4">
        <f>132-56.9</f>
        <v>75.1</v>
      </c>
      <c r="AG26" s="4">
        <v>620</v>
      </c>
      <c r="AH26" s="4">
        <f>291-67.1</f>
        <v>223.9</v>
      </c>
      <c r="AI26" s="4">
        <f>241-56.9</f>
        <v>184.1</v>
      </c>
      <c r="AJ26" s="4">
        <v>353</v>
      </c>
      <c r="AK26" s="4">
        <v>511</v>
      </c>
      <c r="AL26" s="4">
        <v>21</v>
      </c>
      <c r="AM26" s="4">
        <v>381</v>
      </c>
      <c r="AN26" s="4">
        <v>743</v>
      </c>
      <c r="AO26" s="4">
        <f>477-56.9</f>
        <v>420.1</v>
      </c>
      <c r="AP26" s="4">
        <f>221-(18.1+19.2)</f>
        <v>183.7</v>
      </c>
      <c r="AQ26" s="4">
        <f>1660-194</f>
        <v>1466</v>
      </c>
      <c r="AR26" s="4">
        <v>617</v>
      </c>
      <c r="AS26" s="4">
        <v>521</v>
      </c>
      <c r="AT26" s="4">
        <v>56</v>
      </c>
      <c r="AU26" s="4">
        <v>313</v>
      </c>
      <c r="AV26" s="4">
        <v>422</v>
      </c>
      <c r="AW26" s="4">
        <f>102-32.5</f>
        <v>69.5</v>
      </c>
      <c r="AX26" s="4">
        <f>118-19.2</f>
        <v>98.8</v>
      </c>
      <c r="AY26" s="4">
        <f>165-46.4</f>
        <v>118.6</v>
      </c>
      <c r="AZ26" s="4">
        <v>115</v>
      </c>
      <c r="BA26" s="4">
        <v>29</v>
      </c>
      <c r="BB26" s="4">
        <v>1109</v>
      </c>
      <c r="BC26" s="4">
        <v>1312</v>
      </c>
      <c r="BD26" s="4">
        <f>343-56.9</f>
        <v>286.1</v>
      </c>
      <c r="BE26" s="4">
        <v>362</v>
      </c>
      <c r="BF26" s="4">
        <v>66</v>
      </c>
      <c r="BG26" s="4">
        <v>837</v>
      </c>
      <c r="BH26" s="4">
        <v>400</v>
      </c>
      <c r="BI26" s="4">
        <f>131-46.4</f>
        <v>84.6</v>
      </c>
    </row>
    <row r="27" spans="1:61" ht="15">
      <c r="A27" s="3" t="s">
        <v>15</v>
      </c>
      <c r="B27" s="4">
        <v>321</v>
      </c>
      <c r="C27" s="4">
        <v>178</v>
      </c>
      <c r="D27" s="4">
        <v>255</v>
      </c>
      <c r="E27" s="4">
        <f>637-56.9</f>
        <v>580.1</v>
      </c>
      <c r="F27" s="4">
        <f>834-(100+56.2)</f>
        <v>677.8</v>
      </c>
      <c r="G27" s="4">
        <v>671</v>
      </c>
      <c r="H27" s="4">
        <v>315</v>
      </c>
      <c r="I27" s="4">
        <f>324-56.9</f>
        <v>267.1</v>
      </c>
      <c r="J27" s="4">
        <v>226</v>
      </c>
      <c r="K27" s="4">
        <f>343-56.9</f>
        <v>286.1</v>
      </c>
      <c r="L27" s="4">
        <v>776</v>
      </c>
      <c r="M27" s="4">
        <v>711</v>
      </c>
      <c r="N27" s="4">
        <v>908</v>
      </c>
      <c r="O27" s="4">
        <f>343-56.9</f>
        <v>286.1</v>
      </c>
      <c r="P27" s="4">
        <v>940</v>
      </c>
      <c r="Q27" s="4">
        <f>258-19.2</f>
        <v>238.8</v>
      </c>
      <c r="R27" s="4">
        <v>529</v>
      </c>
      <c r="S27" s="4">
        <v>497</v>
      </c>
      <c r="T27" s="4">
        <v>943</v>
      </c>
      <c r="U27" s="4">
        <v>172</v>
      </c>
      <c r="V27" s="4">
        <v>3338</v>
      </c>
      <c r="W27" s="4">
        <v>649</v>
      </c>
      <c r="X27" s="4">
        <v>290</v>
      </c>
      <c r="Y27" s="4">
        <v>598</v>
      </c>
      <c r="Z27" s="4">
        <v>279</v>
      </c>
      <c r="AA27" s="4">
        <v>0</v>
      </c>
      <c r="AB27" s="4">
        <v>249</v>
      </c>
      <c r="AC27" s="4">
        <v>273</v>
      </c>
      <c r="AD27" s="4">
        <f>1801-194</f>
        <v>1607</v>
      </c>
      <c r="AE27" s="4">
        <v>686</v>
      </c>
      <c r="AF27" s="4">
        <f>291-56.9</f>
        <v>234.1</v>
      </c>
      <c r="AG27" s="4">
        <v>627</v>
      </c>
      <c r="AH27" s="4">
        <f>441-56.9</f>
        <v>384.1</v>
      </c>
      <c r="AI27" s="4">
        <f>401-56.9</f>
        <v>344.1</v>
      </c>
      <c r="AJ27" s="4">
        <v>366</v>
      </c>
      <c r="AK27" s="4">
        <v>270</v>
      </c>
      <c r="AL27" s="4">
        <v>293</v>
      </c>
      <c r="AM27" s="4">
        <v>319</v>
      </c>
      <c r="AN27" s="4">
        <v>504</v>
      </c>
      <c r="AO27" s="4">
        <f>637-56.9</f>
        <v>580.1</v>
      </c>
      <c r="AP27" s="4">
        <f>381-(18.1+19.2)</f>
        <v>343.7</v>
      </c>
      <c r="AQ27" s="4">
        <f>1420-194</f>
        <v>1226</v>
      </c>
      <c r="AR27" s="4">
        <v>383</v>
      </c>
      <c r="AS27" s="4">
        <v>382</v>
      </c>
      <c r="AT27" s="4">
        <v>332</v>
      </c>
      <c r="AU27" s="4">
        <v>170</v>
      </c>
      <c r="AV27" s="4">
        <v>278</v>
      </c>
      <c r="AW27" s="4">
        <f>382-32.5</f>
        <v>349.5</v>
      </c>
      <c r="AX27" s="4">
        <f>278-19.2</f>
        <v>258.8</v>
      </c>
      <c r="AY27" s="4">
        <f>411-56.9</f>
        <v>354.1</v>
      </c>
      <c r="AZ27" s="4">
        <v>188</v>
      </c>
      <c r="BA27" s="4">
        <v>299</v>
      </c>
      <c r="BB27" s="4">
        <v>868</v>
      </c>
      <c r="BC27" s="4">
        <v>1077</v>
      </c>
      <c r="BD27" s="4">
        <f>493-56.9</f>
        <v>436.1</v>
      </c>
      <c r="BE27" s="4">
        <v>302</v>
      </c>
      <c r="BF27" s="4">
        <v>262</v>
      </c>
      <c r="BG27" s="4">
        <v>597</v>
      </c>
      <c r="BH27" s="4">
        <v>288</v>
      </c>
      <c r="BI27" s="4">
        <f>412-46.4</f>
        <v>365.6</v>
      </c>
    </row>
    <row r="28" spans="1:61" ht="15">
      <c r="A28" s="3" t="s">
        <v>58</v>
      </c>
      <c r="B28" s="4">
        <v>17</v>
      </c>
      <c r="C28" s="4">
        <v>458</v>
      </c>
      <c r="D28" s="4">
        <v>71</v>
      </c>
      <c r="E28" s="4">
        <f>425-56.9</f>
        <v>368.1</v>
      </c>
      <c r="F28" s="4">
        <f>1114-(100+56.2)</f>
        <v>957.8</v>
      </c>
      <c r="G28" s="4">
        <v>951</v>
      </c>
      <c r="H28" s="4">
        <v>13</v>
      </c>
      <c r="I28" s="4">
        <f>108-56.9</f>
        <v>51.1</v>
      </c>
      <c r="J28" s="4">
        <v>104</v>
      </c>
      <c r="K28" s="4">
        <f>131-56.9</f>
        <v>74.1</v>
      </c>
      <c r="L28" s="4">
        <v>844</v>
      </c>
      <c r="M28" s="4">
        <v>738</v>
      </c>
      <c r="N28" s="4">
        <v>1188</v>
      </c>
      <c r="O28" s="4">
        <f>131-56.9</f>
        <v>74.1</v>
      </c>
      <c r="P28" s="4">
        <v>1220</v>
      </c>
      <c r="Q28" s="4">
        <f>45.5-19.2</f>
        <v>26.3</v>
      </c>
      <c r="R28" s="4">
        <v>714</v>
      </c>
      <c r="S28" s="4">
        <v>524</v>
      </c>
      <c r="T28" s="4">
        <v>1224</v>
      </c>
      <c r="U28" s="4">
        <v>154</v>
      </c>
      <c r="V28" s="4">
        <v>3619</v>
      </c>
      <c r="W28" s="4">
        <v>834</v>
      </c>
      <c r="X28" s="4">
        <v>392</v>
      </c>
      <c r="Y28" s="4">
        <v>631</v>
      </c>
      <c r="Z28" s="4">
        <v>55</v>
      </c>
      <c r="AA28" s="4">
        <v>249</v>
      </c>
      <c r="AB28" s="4">
        <v>0</v>
      </c>
      <c r="AC28" s="4">
        <v>46.5</v>
      </c>
      <c r="AD28" s="4">
        <f>1797-194</f>
        <v>1603</v>
      </c>
      <c r="AE28" s="4">
        <v>966</v>
      </c>
      <c r="AF28" s="4">
        <f>79-56.9</f>
        <v>22.1</v>
      </c>
      <c r="AG28" s="4">
        <v>660</v>
      </c>
      <c r="AH28" s="4">
        <f>229-56.9</f>
        <v>172.1</v>
      </c>
      <c r="AI28" s="4">
        <f>189-56.9</f>
        <v>132.1</v>
      </c>
      <c r="AJ28" s="4">
        <v>400</v>
      </c>
      <c r="AK28" s="4">
        <v>550</v>
      </c>
      <c r="AL28" s="4">
        <v>58</v>
      </c>
      <c r="AM28" s="4">
        <v>421</v>
      </c>
      <c r="AN28" s="4">
        <v>783</v>
      </c>
      <c r="AO28" s="4">
        <f>425-56.9</f>
        <v>368.1</v>
      </c>
      <c r="AP28" s="4">
        <f>169-(18.1+19.2)</f>
        <v>131.7</v>
      </c>
      <c r="AQ28" s="4">
        <f>1700-194</f>
        <v>1506</v>
      </c>
      <c r="AR28" s="4">
        <v>664</v>
      </c>
      <c r="AS28" s="4">
        <v>567</v>
      </c>
      <c r="AT28" s="4">
        <v>31</v>
      </c>
      <c r="AU28" s="4">
        <v>355</v>
      </c>
      <c r="AV28" s="4">
        <v>463</v>
      </c>
      <c r="AW28" s="4">
        <f>95.8-32.5</f>
        <v>63.3</v>
      </c>
      <c r="AX28" s="4">
        <f>65.5-19.2</f>
        <v>46.3</v>
      </c>
      <c r="AY28" s="4">
        <f>159-46.4</f>
        <v>112.6</v>
      </c>
      <c r="AZ28" s="4">
        <v>62.4</v>
      </c>
      <c r="BA28" s="4">
        <v>38</v>
      </c>
      <c r="BB28" s="4">
        <v>1148</v>
      </c>
      <c r="BC28" s="4">
        <v>1352</v>
      </c>
      <c r="BD28" s="4">
        <f>281-56.9</f>
        <v>224.1</v>
      </c>
      <c r="BE28" s="4">
        <v>402</v>
      </c>
      <c r="BF28" s="4">
        <v>21</v>
      </c>
      <c r="BG28" s="4">
        <v>877</v>
      </c>
      <c r="BH28" s="4">
        <v>440</v>
      </c>
      <c r="BI28" s="4">
        <f>125-46.4</f>
        <v>78.6</v>
      </c>
    </row>
    <row r="29" spans="1:61" ht="15">
      <c r="A29" s="3" t="s">
        <v>16</v>
      </c>
      <c r="B29" s="4">
        <v>42</v>
      </c>
      <c r="C29" s="4">
        <v>407</v>
      </c>
      <c r="D29" s="4">
        <v>38.3</v>
      </c>
      <c r="E29" s="4">
        <f>469-56.9</f>
        <v>412.1</v>
      </c>
      <c r="F29" s="4">
        <f>1062-(100+56.2)</f>
        <v>905.8</v>
      </c>
      <c r="G29" s="4">
        <v>900</v>
      </c>
      <c r="H29" s="4">
        <v>35.5</v>
      </c>
      <c r="I29" s="4">
        <f>119-(5.1+32.5)</f>
        <v>81.4</v>
      </c>
      <c r="J29" s="4">
        <v>67.5</v>
      </c>
      <c r="K29" s="4">
        <f>125-(5.1+32.5)</f>
        <v>87.4</v>
      </c>
      <c r="L29" s="4">
        <v>807</v>
      </c>
      <c r="M29" s="4">
        <v>701</v>
      </c>
      <c r="N29" s="4">
        <v>1136</v>
      </c>
      <c r="O29" s="4">
        <f>125-(5.1+32.5)</f>
        <v>87.4</v>
      </c>
      <c r="P29" s="4">
        <v>1173</v>
      </c>
      <c r="Q29" s="4">
        <f>89.4-19.2</f>
        <v>70.2</v>
      </c>
      <c r="R29" s="4">
        <v>677</v>
      </c>
      <c r="S29" s="4">
        <v>487</v>
      </c>
      <c r="T29" s="4">
        <v>1172</v>
      </c>
      <c r="U29" s="4">
        <v>107</v>
      </c>
      <c r="V29" s="4">
        <v>3567</v>
      </c>
      <c r="W29" s="4">
        <v>797</v>
      </c>
      <c r="X29" s="4">
        <v>355</v>
      </c>
      <c r="Y29" s="4">
        <v>595</v>
      </c>
      <c r="Z29" s="4">
        <v>25.9</v>
      </c>
      <c r="AA29" s="4">
        <v>273</v>
      </c>
      <c r="AB29" s="4">
        <v>46.5</v>
      </c>
      <c r="AC29" s="4">
        <v>0</v>
      </c>
      <c r="AD29" s="4">
        <f>1746-194</f>
        <v>1552</v>
      </c>
      <c r="AE29" s="4">
        <v>915</v>
      </c>
      <c r="AF29" s="4">
        <f>123-56.9</f>
        <v>66.1</v>
      </c>
      <c r="AG29" s="4">
        <v>624</v>
      </c>
      <c r="AH29" s="4">
        <f>273-56.9</f>
        <v>216.1</v>
      </c>
      <c r="AI29" s="4">
        <f>233-56.9</f>
        <v>176.1</v>
      </c>
      <c r="AJ29" s="4">
        <v>362</v>
      </c>
      <c r="AK29" s="4">
        <v>499</v>
      </c>
      <c r="AL29" s="4">
        <v>35.6</v>
      </c>
      <c r="AM29" s="4">
        <v>385</v>
      </c>
      <c r="AN29" s="4">
        <v>732</v>
      </c>
      <c r="AO29" s="4">
        <f>469-56.9</f>
        <v>412.1</v>
      </c>
      <c r="AP29" s="4">
        <f>213-(18.1+19.2)</f>
        <v>175.7</v>
      </c>
      <c r="AQ29" s="4">
        <f>1649-194</f>
        <v>1455</v>
      </c>
      <c r="AR29" s="4">
        <v>611</v>
      </c>
      <c r="AS29" s="4">
        <v>530</v>
      </c>
      <c r="AT29" s="4">
        <v>56.3</v>
      </c>
      <c r="AU29" s="4">
        <v>310</v>
      </c>
      <c r="AV29" s="4">
        <v>426</v>
      </c>
      <c r="AW29" s="4">
        <f>107-32.5</f>
        <v>74.5</v>
      </c>
      <c r="AX29" s="4">
        <f>109-19.2</f>
        <v>89.8</v>
      </c>
      <c r="AY29" s="4">
        <f>170-46.4</f>
        <v>123.6</v>
      </c>
      <c r="AZ29" s="4">
        <v>106</v>
      </c>
      <c r="BA29" s="4">
        <v>22.9</v>
      </c>
      <c r="BB29" s="4">
        <v>1097</v>
      </c>
      <c r="BC29" s="4">
        <v>1305</v>
      </c>
      <c r="BD29" s="4">
        <f>325-56.9</f>
        <v>268.1</v>
      </c>
      <c r="BE29" s="4">
        <v>367</v>
      </c>
      <c r="BF29" s="4">
        <v>51.8</v>
      </c>
      <c r="BG29" s="4">
        <v>826</v>
      </c>
      <c r="BH29" s="4">
        <v>404</v>
      </c>
      <c r="BI29" s="4">
        <f>136-46.4</f>
        <v>89.6</v>
      </c>
    </row>
    <row r="30" spans="1:61" ht="15">
      <c r="A30" s="3" t="s">
        <v>17</v>
      </c>
      <c r="B30" s="4">
        <f>1794-194</f>
        <v>1600</v>
      </c>
      <c r="C30" s="4">
        <f>1340-194</f>
        <v>1146</v>
      </c>
      <c r="D30" s="4">
        <f>1727-194</f>
        <v>1533</v>
      </c>
      <c r="E30" s="4">
        <f>850-(510+194)</f>
        <v>146</v>
      </c>
      <c r="F30" s="4">
        <f>623-(325+194)</f>
        <v>104</v>
      </c>
      <c r="G30" s="4">
        <f>1705-194</f>
        <v>1511</v>
      </c>
      <c r="H30" s="4">
        <f>1788-194</f>
        <v>1594</v>
      </c>
      <c r="I30" s="4">
        <f>1226-(194+510)</f>
        <v>522</v>
      </c>
      <c r="J30" s="4">
        <f>1696-194</f>
        <v>1502</v>
      </c>
      <c r="K30" s="4">
        <f>1244-(510+194)</f>
        <v>540</v>
      </c>
      <c r="L30" s="4">
        <f>1894-194</f>
        <v>1700</v>
      </c>
      <c r="M30" s="4">
        <f>2000-194</f>
        <v>1806</v>
      </c>
      <c r="N30" s="4">
        <f>1423-194</f>
        <v>1229</v>
      </c>
      <c r="O30" s="4">
        <f>1244-(510+194)</f>
        <v>540</v>
      </c>
      <c r="P30" s="4">
        <f>1455-194</f>
        <v>1261</v>
      </c>
      <c r="Q30" s="4">
        <f>1840-(194+19.2)</f>
        <v>1626.8</v>
      </c>
      <c r="R30" s="4">
        <f>1699-194</f>
        <v>1505</v>
      </c>
      <c r="S30" s="4">
        <f>1896-194</f>
        <v>1702</v>
      </c>
      <c r="T30" s="4">
        <f>589-194</f>
        <v>395</v>
      </c>
      <c r="U30" s="4">
        <f>1644-194</f>
        <v>1450</v>
      </c>
      <c r="V30" s="4">
        <f>2898-194</f>
        <v>2704</v>
      </c>
      <c r="W30" s="4">
        <f>1768-194</f>
        <v>1574</v>
      </c>
      <c r="X30" s="4">
        <f>1694-194</f>
        <v>1500</v>
      </c>
      <c r="Y30" s="4">
        <f>2004-194</f>
        <v>1810</v>
      </c>
      <c r="Z30" s="4">
        <f>1757-194</f>
        <v>1563</v>
      </c>
      <c r="AA30" s="4">
        <f>1801-194</f>
        <v>1607</v>
      </c>
      <c r="AB30" s="4">
        <f>1797-194</f>
        <v>1603</v>
      </c>
      <c r="AC30" s="4">
        <f>1746-194</f>
        <v>1552</v>
      </c>
      <c r="AD30" s="4">
        <v>0</v>
      </c>
      <c r="AE30" s="4">
        <v>1007</v>
      </c>
      <c r="AF30" s="4">
        <f>1191-194</f>
        <v>997</v>
      </c>
      <c r="AG30" s="4">
        <f>1990-194</f>
        <v>1796</v>
      </c>
      <c r="AH30" s="4">
        <f>1045-(510+194)</f>
        <v>341</v>
      </c>
      <c r="AI30" s="4">
        <f>1094-(510+194)</f>
        <v>390</v>
      </c>
      <c r="AJ30" s="4">
        <f>1769-194</f>
        <v>1575</v>
      </c>
      <c r="AK30" s="4">
        <v>1059</v>
      </c>
      <c r="AL30" s="4">
        <f>1766-194</f>
        <v>1572</v>
      </c>
      <c r="AM30" s="4">
        <f>1722-194</f>
        <v>1528</v>
      </c>
      <c r="AN30" s="4">
        <f>1019-194</f>
        <v>825</v>
      </c>
      <c r="AO30" s="4">
        <f>850-(510+194)</f>
        <v>146</v>
      </c>
      <c r="AP30" s="4">
        <f>1127-(194+510+30.2)</f>
        <v>392.79999999999995</v>
      </c>
      <c r="AQ30" s="4">
        <v>109</v>
      </c>
      <c r="AR30" s="4">
        <f>1135-194</f>
        <v>941</v>
      </c>
      <c r="AS30" s="4">
        <f>1746-194</f>
        <v>1552</v>
      </c>
      <c r="AT30" s="4">
        <f>1804-194</f>
        <v>1610</v>
      </c>
      <c r="AU30" s="4">
        <f>1534-194</f>
        <v>1340</v>
      </c>
      <c r="AV30" s="4">
        <f>1642-194</f>
        <v>1448</v>
      </c>
      <c r="AW30" s="4">
        <f>1854-(194+32.5)</f>
        <v>1627.5</v>
      </c>
      <c r="AX30" s="4">
        <f>1861-(194+19.2)</f>
        <v>1647.8</v>
      </c>
      <c r="AY30" s="4">
        <f>1313-(194+510)</f>
        <v>609</v>
      </c>
      <c r="AZ30" s="4">
        <f>1704-194</f>
        <v>1510</v>
      </c>
      <c r="BA30" s="4">
        <f>1771-194</f>
        <v>1577</v>
      </c>
      <c r="BB30" s="4">
        <v>455</v>
      </c>
      <c r="BC30" s="4">
        <f>446-194</f>
        <v>252</v>
      </c>
      <c r="BD30" s="4">
        <f>1310-(510+194)</f>
        <v>606</v>
      </c>
      <c r="BE30" s="4">
        <f>1690-194</f>
        <v>1496</v>
      </c>
      <c r="BF30" s="4">
        <f>1803-194</f>
        <v>1609</v>
      </c>
      <c r="BG30" s="4">
        <f>920-194</f>
        <v>726</v>
      </c>
      <c r="BH30" s="4">
        <f>1650-194</f>
        <v>1456</v>
      </c>
      <c r="BI30" s="4">
        <f>1885-(194+46.4)</f>
        <v>1644.6</v>
      </c>
    </row>
    <row r="31" spans="1:61" ht="15">
      <c r="A31" s="3" t="s">
        <v>54</v>
      </c>
      <c r="B31" s="4">
        <v>965</v>
      </c>
      <c r="C31" s="4">
        <v>509</v>
      </c>
      <c r="D31" s="4">
        <v>897</v>
      </c>
      <c r="E31" s="4">
        <v>1180</v>
      </c>
      <c r="F31" s="4">
        <v>880</v>
      </c>
      <c r="G31" s="4">
        <v>874</v>
      </c>
      <c r="H31" s="4">
        <v>953</v>
      </c>
      <c r="I31" s="4">
        <v>1004</v>
      </c>
      <c r="J31" s="4">
        <v>865</v>
      </c>
      <c r="K31" s="4">
        <v>1041</v>
      </c>
      <c r="L31" s="4">
        <v>1059</v>
      </c>
      <c r="M31" s="4">
        <v>1064</v>
      </c>
      <c r="N31" s="4">
        <v>278</v>
      </c>
      <c r="O31" s="4">
        <v>1007</v>
      </c>
      <c r="P31" s="4">
        <v>311</v>
      </c>
      <c r="Q31" s="4">
        <v>990</v>
      </c>
      <c r="R31" s="4">
        <v>864</v>
      </c>
      <c r="S31" s="4">
        <v>1063</v>
      </c>
      <c r="T31" s="4">
        <v>628</v>
      </c>
      <c r="U31" s="4">
        <v>813</v>
      </c>
      <c r="V31" s="4">
        <v>2820</v>
      </c>
      <c r="W31" s="4">
        <v>932</v>
      </c>
      <c r="X31" s="4">
        <v>862</v>
      </c>
      <c r="Y31" s="4">
        <v>1093</v>
      </c>
      <c r="Z31" s="4">
        <v>927</v>
      </c>
      <c r="AA31" s="4">
        <v>686</v>
      </c>
      <c r="AB31" s="4">
        <v>966</v>
      </c>
      <c r="AC31" s="4">
        <v>915</v>
      </c>
      <c r="AD31" s="4">
        <v>1007</v>
      </c>
      <c r="AE31" s="4">
        <v>0</v>
      </c>
      <c r="AF31" s="4">
        <v>985</v>
      </c>
      <c r="AG31" s="4">
        <v>1160</v>
      </c>
      <c r="AH31" s="4">
        <v>1137</v>
      </c>
      <c r="AI31" s="4">
        <v>1100</v>
      </c>
      <c r="AJ31" s="4">
        <v>939</v>
      </c>
      <c r="AK31" s="4">
        <v>422</v>
      </c>
      <c r="AL31" s="4">
        <v>936</v>
      </c>
      <c r="AM31" s="4">
        <v>888</v>
      </c>
      <c r="AN31" s="4">
        <v>184</v>
      </c>
      <c r="AO31" s="4">
        <v>1333</v>
      </c>
      <c r="AP31" s="4">
        <v>1115</v>
      </c>
      <c r="AQ31" s="4">
        <v>911</v>
      </c>
      <c r="AR31" s="4">
        <v>304</v>
      </c>
      <c r="AS31" s="4">
        <v>915</v>
      </c>
      <c r="AT31" s="4">
        <v>973</v>
      </c>
      <c r="AU31" s="4">
        <v>704</v>
      </c>
      <c r="AV31" s="4">
        <v>812</v>
      </c>
      <c r="AW31" s="4">
        <v>991</v>
      </c>
      <c r="AX31" s="4">
        <v>1011</v>
      </c>
      <c r="AY31" s="4">
        <v>1074</v>
      </c>
      <c r="AZ31" s="4">
        <v>873</v>
      </c>
      <c r="BA31" s="4">
        <v>940</v>
      </c>
      <c r="BB31" s="4">
        <v>553</v>
      </c>
      <c r="BC31" s="4">
        <v>757</v>
      </c>
      <c r="BD31" s="4">
        <v>1190</v>
      </c>
      <c r="BE31" s="4">
        <v>858</v>
      </c>
      <c r="BF31" s="4">
        <v>972</v>
      </c>
      <c r="BG31" s="4">
        <v>282</v>
      </c>
      <c r="BH31" s="4">
        <v>818</v>
      </c>
      <c r="BI31" s="4">
        <v>1008</v>
      </c>
    </row>
    <row r="32" spans="1:61" ht="15">
      <c r="A32" s="3" t="s">
        <v>50</v>
      </c>
      <c r="B32" s="4">
        <f>84-56.9</f>
        <v>27.1</v>
      </c>
      <c r="C32" s="4">
        <f>536-56.9</f>
        <v>479.1</v>
      </c>
      <c r="D32" s="4">
        <f>149-56.9</f>
        <v>92.1</v>
      </c>
      <c r="E32" s="4">
        <v>347</v>
      </c>
      <c r="F32" s="4">
        <f>794-(56.2+100+107+143)</f>
        <v>387.8</v>
      </c>
      <c r="G32" s="4">
        <f>1029-56.9</f>
        <v>972.1</v>
      </c>
      <c r="H32" s="4">
        <f>90-56.9</f>
        <v>33.1</v>
      </c>
      <c r="I32" s="4">
        <v>38.8</v>
      </c>
      <c r="J32" s="4">
        <f>181-56.9</f>
        <v>124.1</v>
      </c>
      <c r="K32" s="4">
        <v>58</v>
      </c>
      <c r="L32" s="4">
        <f>921-56.9</f>
        <v>864.1</v>
      </c>
      <c r="M32" s="4">
        <f>815-56.9</f>
        <v>758.1</v>
      </c>
      <c r="N32" s="4">
        <f>1198-56.9</f>
        <v>1141.1</v>
      </c>
      <c r="O32" s="4">
        <v>58</v>
      </c>
      <c r="P32" s="4">
        <f>1297-56.9</f>
        <v>1240.1</v>
      </c>
      <c r="Q32" s="4">
        <f>85.9-(19.2+56.9)</f>
        <v>9.800000000000011</v>
      </c>
      <c r="R32" s="4">
        <f>791-56.9</f>
        <v>734.1</v>
      </c>
      <c r="S32" s="4">
        <f>601-56.9</f>
        <v>544.1</v>
      </c>
      <c r="T32" s="4">
        <f>1301-56.9</f>
        <v>1244.1</v>
      </c>
      <c r="U32" s="4">
        <f>231-56.9</f>
        <v>174.1</v>
      </c>
      <c r="V32" s="4">
        <f>3696-56.9</f>
        <v>3639.1</v>
      </c>
      <c r="W32" s="4">
        <f>911-56.9</f>
        <v>854.1</v>
      </c>
      <c r="X32" s="4">
        <f>470-56.9</f>
        <v>413.1</v>
      </c>
      <c r="Y32" s="4">
        <f>709-56.9</f>
        <v>652.1</v>
      </c>
      <c r="Z32" s="4">
        <f>132-56.9</f>
        <v>75.1</v>
      </c>
      <c r="AA32" s="4">
        <f>291-56.9</f>
        <v>234.1</v>
      </c>
      <c r="AB32" s="4">
        <f>79-56.9</f>
        <v>22.1</v>
      </c>
      <c r="AC32" s="4">
        <f>123-56.9</f>
        <v>66.1</v>
      </c>
      <c r="AD32" s="4">
        <f>1191-194</f>
        <v>997</v>
      </c>
      <c r="AE32" s="4">
        <v>985</v>
      </c>
      <c r="AF32" s="4">
        <v>0</v>
      </c>
      <c r="AG32" s="4">
        <f>738-56.9</f>
        <v>681.1</v>
      </c>
      <c r="AH32" s="4">
        <v>151</v>
      </c>
      <c r="AI32" s="4">
        <v>112</v>
      </c>
      <c r="AJ32" s="4">
        <f>476-56.9</f>
        <v>419.1</v>
      </c>
      <c r="AK32" s="4">
        <v>568</v>
      </c>
      <c r="AL32" s="4">
        <f>126-67.1</f>
        <v>58.900000000000006</v>
      </c>
      <c r="AM32" s="4">
        <f>497-56.9</f>
        <v>440.1</v>
      </c>
      <c r="AN32" s="4">
        <f>793-56.9</f>
        <v>736.1</v>
      </c>
      <c r="AO32" s="4">
        <v>347</v>
      </c>
      <c r="AP32" s="4">
        <f>147-30.2</f>
        <v>116.8</v>
      </c>
      <c r="AQ32" s="4">
        <f>1095-(194+510)</f>
        <v>391</v>
      </c>
      <c r="AR32" s="4">
        <f>740-56.9</f>
        <v>683.1</v>
      </c>
      <c r="AS32" s="4">
        <f>644-56.9</f>
        <v>587.1</v>
      </c>
      <c r="AT32" s="4">
        <f>95-56.9</f>
        <v>38.1</v>
      </c>
      <c r="AU32" s="4">
        <f>432-56.9</f>
        <v>375.1</v>
      </c>
      <c r="AV32" s="4">
        <f>540-56.9</f>
        <v>483.1</v>
      </c>
      <c r="AW32" s="4">
        <f>73-5.1</f>
        <v>67.9</v>
      </c>
      <c r="AX32" s="4">
        <f>106-(19.2+56.9)</f>
        <v>29.900000000000006</v>
      </c>
      <c r="AY32" s="4">
        <v>125</v>
      </c>
      <c r="AZ32" s="4">
        <f>105-56.9</f>
        <v>48.1</v>
      </c>
      <c r="BA32" s="4">
        <f>115-56.9</f>
        <v>58.1</v>
      </c>
      <c r="BB32" s="4">
        <v>1167</v>
      </c>
      <c r="BC32" s="4">
        <f>1430-56.9</f>
        <v>1373.1</v>
      </c>
      <c r="BD32" s="4">
        <v>204</v>
      </c>
      <c r="BE32" s="4">
        <f>480-56.9</f>
        <v>423.1</v>
      </c>
      <c r="BF32" s="4">
        <f>89-56.9</f>
        <v>32.1</v>
      </c>
      <c r="BG32" s="4">
        <f>955-56.9</f>
        <v>898.1</v>
      </c>
      <c r="BH32" s="4">
        <f>518-56.9</f>
        <v>461.1</v>
      </c>
      <c r="BI32" s="4">
        <v>119</v>
      </c>
    </row>
    <row r="33" spans="1:61" ht="15">
      <c r="A33" s="3" t="s">
        <v>18</v>
      </c>
      <c r="B33" s="4">
        <v>658</v>
      </c>
      <c r="C33" s="4">
        <v>589</v>
      </c>
      <c r="D33" s="4">
        <v>590</v>
      </c>
      <c r="E33" s="4">
        <f>1084-56.9</f>
        <v>1027.1</v>
      </c>
      <c r="F33" s="4">
        <f>1307-(100+56.2)</f>
        <v>1150.8</v>
      </c>
      <c r="G33" s="4">
        <v>1130</v>
      </c>
      <c r="H33" s="4">
        <v>651</v>
      </c>
      <c r="I33" s="4">
        <f>731-(5.1+32.5)</f>
        <v>693.4</v>
      </c>
      <c r="J33" s="4">
        <v>561</v>
      </c>
      <c r="K33" s="4">
        <f>737-(5.1+32.5)</f>
        <v>699.4</v>
      </c>
      <c r="L33" s="4">
        <v>230</v>
      </c>
      <c r="M33" s="4">
        <v>124</v>
      </c>
      <c r="N33" s="4">
        <v>1256</v>
      </c>
      <c r="O33" s="4">
        <f>737-(5.1+32.5)</f>
        <v>699.4</v>
      </c>
      <c r="P33" s="4">
        <v>1332</v>
      </c>
      <c r="Q33" s="4">
        <f>705-19.2</f>
        <v>685.8</v>
      </c>
      <c r="R33" s="4">
        <v>398</v>
      </c>
      <c r="S33" s="4">
        <v>137</v>
      </c>
      <c r="T33" s="4">
        <v>1416</v>
      </c>
      <c r="U33" s="4">
        <v>508</v>
      </c>
      <c r="V33" s="4">
        <v>3847</v>
      </c>
      <c r="W33" s="4">
        <v>363</v>
      </c>
      <c r="X33" s="4">
        <v>346</v>
      </c>
      <c r="Y33" s="4">
        <v>70.3</v>
      </c>
      <c r="Z33" s="4">
        <v>620</v>
      </c>
      <c r="AA33" s="4">
        <v>627</v>
      </c>
      <c r="AB33" s="4">
        <v>660</v>
      </c>
      <c r="AC33" s="4">
        <v>624</v>
      </c>
      <c r="AD33" s="4">
        <f>1990-194</f>
        <v>1796</v>
      </c>
      <c r="AE33" s="4">
        <v>1160</v>
      </c>
      <c r="AF33" s="4">
        <f>738-56.9</f>
        <v>681.1</v>
      </c>
      <c r="AG33" s="4">
        <v>0</v>
      </c>
      <c r="AH33" s="4">
        <f>888-56.9</f>
        <v>831.1</v>
      </c>
      <c r="AI33" s="4">
        <f>848-56.9</f>
        <v>791.1</v>
      </c>
      <c r="AJ33" s="4">
        <v>261</v>
      </c>
      <c r="AK33" s="4">
        <v>743</v>
      </c>
      <c r="AL33" s="4">
        <v>628</v>
      </c>
      <c r="AM33" s="4">
        <v>323</v>
      </c>
      <c r="AN33" s="4">
        <v>977</v>
      </c>
      <c r="AO33" s="4">
        <f>1084-56.9</f>
        <v>1027.1</v>
      </c>
      <c r="AP33" s="4">
        <f>828-(18.1+19.2)</f>
        <v>790.7</v>
      </c>
      <c r="AQ33" s="4">
        <f>1893-194</f>
        <v>1699</v>
      </c>
      <c r="AR33" s="4">
        <v>855</v>
      </c>
      <c r="AS33" s="4">
        <v>250</v>
      </c>
      <c r="AT33" s="4">
        <v>667</v>
      </c>
      <c r="AU33" s="4">
        <v>457</v>
      </c>
      <c r="AV33" s="4">
        <v>348</v>
      </c>
      <c r="AW33" s="4">
        <f>718-32.5</f>
        <v>685.5</v>
      </c>
      <c r="AX33" s="4">
        <f>725-19.2</f>
        <v>705.8</v>
      </c>
      <c r="AY33" s="4">
        <f>782-46.4</f>
        <v>735.6</v>
      </c>
      <c r="AZ33" s="4">
        <v>721</v>
      </c>
      <c r="BA33" s="4">
        <v>634</v>
      </c>
      <c r="BB33" s="4">
        <v>1342</v>
      </c>
      <c r="BC33" s="4">
        <v>1550</v>
      </c>
      <c r="BD33" s="4">
        <f>940-56.9</f>
        <v>883.1</v>
      </c>
      <c r="BE33" s="4">
        <v>344</v>
      </c>
      <c r="BF33" s="4">
        <v>667</v>
      </c>
      <c r="BG33" s="4">
        <v>1070</v>
      </c>
      <c r="BH33" s="4">
        <v>339</v>
      </c>
      <c r="BI33" s="4">
        <f>748-46.4</f>
        <v>701.6</v>
      </c>
    </row>
    <row r="34" spans="1:61" ht="15">
      <c r="A34" s="3" t="s">
        <v>49</v>
      </c>
      <c r="B34" s="4">
        <f>235-56.9</f>
        <v>178.1</v>
      </c>
      <c r="C34" s="4">
        <f>618-56.9</f>
        <v>561.1</v>
      </c>
      <c r="D34" s="4">
        <f>299-56.9</f>
        <v>242.1</v>
      </c>
      <c r="E34" s="4">
        <v>200</v>
      </c>
      <c r="F34" s="4">
        <f>647-(56.2+100+107+143)</f>
        <v>240.8</v>
      </c>
      <c r="G34" s="4">
        <f>491-(143+107)</f>
        <v>241</v>
      </c>
      <c r="H34" s="4">
        <f>239-56.9</f>
        <v>182.1</v>
      </c>
      <c r="I34" s="4">
        <v>186</v>
      </c>
      <c r="J34" s="4">
        <f>331-56.9</f>
        <v>274.1</v>
      </c>
      <c r="K34" s="4">
        <v>207</v>
      </c>
      <c r="L34" s="4">
        <f>1071-56.9</f>
        <v>1014.1</v>
      </c>
      <c r="M34" s="4">
        <f>965-56.9</f>
        <v>908.1</v>
      </c>
      <c r="N34" s="4">
        <f>1415-56.9</f>
        <v>1358.1</v>
      </c>
      <c r="O34" s="4">
        <v>207</v>
      </c>
      <c r="P34" s="4">
        <f>1447-56.9</f>
        <v>1390.1</v>
      </c>
      <c r="Q34" s="4">
        <f>204-(30.2+18.1)</f>
        <v>155.7</v>
      </c>
      <c r="R34" s="4">
        <f>941-56.9</f>
        <v>884.1</v>
      </c>
      <c r="S34" s="4">
        <f>751-56.9</f>
        <v>694.1</v>
      </c>
      <c r="T34" s="4">
        <f>1451-56.9</f>
        <v>1394.1</v>
      </c>
      <c r="U34" s="4">
        <f>381-56.9</f>
        <v>324.1</v>
      </c>
      <c r="V34" s="4">
        <f>3846-56.9</f>
        <v>3789.1</v>
      </c>
      <c r="W34" s="4">
        <f>1061-56.9</f>
        <v>1004.1</v>
      </c>
      <c r="X34" s="4">
        <f>621-56.9</f>
        <v>564.1</v>
      </c>
      <c r="Y34" s="4">
        <f>820-56.9</f>
        <v>763.1</v>
      </c>
      <c r="Z34" s="4">
        <f>291-67.1</f>
        <v>223.9</v>
      </c>
      <c r="AA34" s="4">
        <f>441-56.9</f>
        <v>384.1</v>
      </c>
      <c r="AB34" s="4">
        <f>229-56.9</f>
        <v>172.1</v>
      </c>
      <c r="AC34" s="4">
        <f>273-56.9</f>
        <v>216.1</v>
      </c>
      <c r="AD34" s="4">
        <f>1045-(510+194)</f>
        <v>341</v>
      </c>
      <c r="AE34" s="4">
        <v>1137</v>
      </c>
      <c r="AF34" s="4">
        <v>151</v>
      </c>
      <c r="AG34" s="4">
        <f>888-56.9</f>
        <v>831.1</v>
      </c>
      <c r="AH34" s="4">
        <v>0</v>
      </c>
      <c r="AI34" s="4">
        <v>45</v>
      </c>
      <c r="AJ34" s="4">
        <f>626-56.9</f>
        <v>569.1</v>
      </c>
      <c r="AK34" s="4">
        <v>721</v>
      </c>
      <c r="AL34" s="4">
        <f>274-67.1</f>
        <v>206.9</v>
      </c>
      <c r="AM34" s="4">
        <f>647-56.9</f>
        <v>590.1</v>
      </c>
      <c r="AN34" s="4">
        <f>943-56.9</f>
        <v>886.1</v>
      </c>
      <c r="AO34" s="4">
        <v>200</v>
      </c>
      <c r="AP34" s="4">
        <f>77.4-30.2</f>
        <v>47.2</v>
      </c>
      <c r="AQ34" s="4">
        <f>948-(510+194)</f>
        <v>244</v>
      </c>
      <c r="AR34" s="4">
        <f>822-56.9</f>
        <v>765.1</v>
      </c>
      <c r="AS34" s="4">
        <f>794-56.9</f>
        <v>737.1</v>
      </c>
      <c r="AT34" s="4">
        <f>244-56.9</f>
        <v>187.1</v>
      </c>
      <c r="AU34" s="4">
        <f>582-56.9</f>
        <v>525.1</v>
      </c>
      <c r="AV34" s="4">
        <f>690-56.9</f>
        <v>633.1</v>
      </c>
      <c r="AW34" s="4">
        <f>220-5.1</f>
        <v>214.9</v>
      </c>
      <c r="AX34" s="4">
        <f>181-(30.2+18.1)</f>
        <v>132.7</v>
      </c>
      <c r="AY34" s="4">
        <v>272</v>
      </c>
      <c r="AZ34" s="4">
        <f>255-56.9</f>
        <v>198.1</v>
      </c>
      <c r="BA34" s="4">
        <f>272-67.1</f>
        <v>204.9</v>
      </c>
      <c r="BB34" s="4">
        <v>1319</v>
      </c>
      <c r="BC34" s="4">
        <f>896-510</f>
        <v>386</v>
      </c>
      <c r="BD34" s="4">
        <v>270</v>
      </c>
      <c r="BE34" s="4">
        <f>630-56.9</f>
        <v>573.1</v>
      </c>
      <c r="BF34" s="4">
        <f>240-56.9</f>
        <v>183.1</v>
      </c>
      <c r="BG34" s="4">
        <f>1037-56.9</f>
        <v>980.1</v>
      </c>
      <c r="BH34" s="4">
        <f>668-56.9</f>
        <v>611.1</v>
      </c>
      <c r="BI34" s="4">
        <v>266</v>
      </c>
    </row>
    <row r="35" spans="1:61" ht="15">
      <c r="A35" s="3" t="s">
        <v>48</v>
      </c>
      <c r="B35" s="4">
        <f>195-56.9</f>
        <v>138.1</v>
      </c>
      <c r="C35" s="4">
        <f>577-56.9</f>
        <v>520.1</v>
      </c>
      <c r="D35" s="4">
        <f>259-56.9</f>
        <v>202.1</v>
      </c>
      <c r="E35" s="4">
        <v>248</v>
      </c>
      <c r="F35" s="4">
        <f>696-(56.2+100+107+143)</f>
        <v>289.8</v>
      </c>
      <c r="G35" s="4">
        <f>540-(143+107)</f>
        <v>290</v>
      </c>
      <c r="H35" s="4">
        <f>199-56.9</f>
        <v>142.1</v>
      </c>
      <c r="I35" s="4">
        <v>146</v>
      </c>
      <c r="J35" s="4">
        <f>291-56.9</f>
        <v>234.1</v>
      </c>
      <c r="K35" s="4">
        <v>166</v>
      </c>
      <c r="L35" s="4">
        <f>1030-56.9</f>
        <v>973.1</v>
      </c>
      <c r="M35" s="4">
        <f>924-56.9</f>
        <v>867.1</v>
      </c>
      <c r="N35" s="4">
        <f>1375-56.9</f>
        <v>1318.1</v>
      </c>
      <c r="O35" s="4">
        <v>166</v>
      </c>
      <c r="P35" s="4">
        <f>1407-56.9</f>
        <v>1350.1</v>
      </c>
      <c r="Q35" s="4">
        <f>162-(30.2+18.1)</f>
        <v>113.7</v>
      </c>
      <c r="R35" s="4">
        <f>901-56.9</f>
        <v>844.1</v>
      </c>
      <c r="S35" s="4">
        <f>711-56.9</f>
        <v>654.1</v>
      </c>
      <c r="T35" s="4">
        <f>1410-56.9</f>
        <v>1353.1</v>
      </c>
      <c r="U35" s="4">
        <f>340-56.9</f>
        <v>283.1</v>
      </c>
      <c r="V35" s="4">
        <f>3806-56.9</f>
        <v>3749.1</v>
      </c>
      <c r="W35" s="4">
        <f>1020-56.9</f>
        <v>963.1</v>
      </c>
      <c r="X35" s="4">
        <f>581-56.9</f>
        <v>524.1</v>
      </c>
      <c r="Y35" s="4">
        <f>860-56.9</f>
        <v>803.1</v>
      </c>
      <c r="Z35" s="4">
        <f>241-56.9</f>
        <v>184.1</v>
      </c>
      <c r="AA35" s="4">
        <f>401-56.9</f>
        <v>344.1</v>
      </c>
      <c r="AB35" s="4">
        <f>189-56.9</f>
        <v>132.1</v>
      </c>
      <c r="AC35" s="4">
        <f>233-56.9</f>
        <v>176.1</v>
      </c>
      <c r="AD35" s="4">
        <f>1094-(510+194)</f>
        <v>390</v>
      </c>
      <c r="AE35" s="4">
        <v>1100</v>
      </c>
      <c r="AF35" s="4">
        <v>112</v>
      </c>
      <c r="AG35" s="4">
        <f>848-56.9</f>
        <v>791.1</v>
      </c>
      <c r="AH35" s="4">
        <v>45</v>
      </c>
      <c r="AI35" s="4">
        <v>0</v>
      </c>
      <c r="AJ35" s="4">
        <f>586-56.9</f>
        <v>529.1</v>
      </c>
      <c r="AK35" s="4">
        <v>683</v>
      </c>
      <c r="AL35" s="4">
        <f>233-67.1</f>
        <v>165.9</v>
      </c>
      <c r="AM35" s="4">
        <f>607-56.9</f>
        <v>550.1</v>
      </c>
      <c r="AN35" s="4">
        <f>971-56.9</f>
        <v>914.1</v>
      </c>
      <c r="AO35" s="4">
        <v>248</v>
      </c>
      <c r="AP35" s="4">
        <f>37.1-30.2</f>
        <v>6.900000000000002</v>
      </c>
      <c r="AQ35" s="4">
        <f>997-(510+194)</f>
        <v>293</v>
      </c>
      <c r="AR35" s="4">
        <f>850-56.9</f>
        <v>793.1</v>
      </c>
      <c r="AS35" s="4">
        <f>753-56.9</f>
        <v>696.1</v>
      </c>
      <c r="AT35" s="4">
        <f>204-56.9</f>
        <v>147.1</v>
      </c>
      <c r="AU35" s="4">
        <f>542-56.9</f>
        <v>485.1</v>
      </c>
      <c r="AV35" s="4">
        <f>650-56.9</f>
        <v>593.1</v>
      </c>
      <c r="AW35" s="4">
        <f>180-5.1</f>
        <v>174.9</v>
      </c>
      <c r="AX35" s="4">
        <f>140-(30.2+18.1)</f>
        <v>91.7</v>
      </c>
      <c r="AY35" s="4">
        <v>232</v>
      </c>
      <c r="AZ35" s="4">
        <f>214-56.9</f>
        <v>157.1</v>
      </c>
      <c r="BA35" s="4">
        <f>224-56.9</f>
        <v>167.1</v>
      </c>
      <c r="BB35" s="4">
        <v>1282</v>
      </c>
      <c r="BC35" s="4">
        <f>1539-56.9</f>
        <v>1482.1</v>
      </c>
      <c r="BD35" s="4">
        <v>229</v>
      </c>
      <c r="BE35" s="4">
        <f>590-56.9</f>
        <v>533.1</v>
      </c>
      <c r="BF35" s="4">
        <f>200-56.9</f>
        <v>143.1</v>
      </c>
      <c r="BG35" s="4">
        <f>997-56.9</f>
        <v>940.1</v>
      </c>
      <c r="BH35" s="4">
        <f>627-56.9</f>
        <v>570.1</v>
      </c>
      <c r="BI35" s="4">
        <v>226</v>
      </c>
    </row>
    <row r="36" spans="1:61" ht="15">
      <c r="A36" s="3" t="s">
        <v>19</v>
      </c>
      <c r="B36" s="4">
        <v>395</v>
      </c>
      <c r="C36" s="4">
        <v>430</v>
      </c>
      <c r="D36" s="4">
        <v>329</v>
      </c>
      <c r="E36" s="4">
        <f>822-56.9</f>
        <v>765.1</v>
      </c>
      <c r="F36" s="4">
        <f>1086-(100+56.2)</f>
        <v>929.8</v>
      </c>
      <c r="G36" s="4">
        <v>924</v>
      </c>
      <c r="H36" s="4">
        <v>389</v>
      </c>
      <c r="I36" s="4">
        <f>469-(5.1+32.5)</f>
        <v>431.4</v>
      </c>
      <c r="J36" s="4">
        <v>300</v>
      </c>
      <c r="K36" s="4">
        <f>475-(5.1+32.5)</f>
        <v>437.4</v>
      </c>
      <c r="L36" s="4">
        <v>445</v>
      </c>
      <c r="M36" s="4">
        <v>339</v>
      </c>
      <c r="N36" s="4">
        <v>1160</v>
      </c>
      <c r="O36" s="4">
        <f>475-(5.1+32.5)</f>
        <v>437.4</v>
      </c>
      <c r="P36" s="4">
        <v>1192</v>
      </c>
      <c r="Q36" s="4">
        <f>443-19.2</f>
        <v>423.8</v>
      </c>
      <c r="R36" s="4">
        <v>468</v>
      </c>
      <c r="S36" s="4">
        <v>125</v>
      </c>
      <c r="T36" s="4">
        <v>1195</v>
      </c>
      <c r="U36" s="4">
        <v>247</v>
      </c>
      <c r="V36" s="4">
        <v>3591</v>
      </c>
      <c r="W36" s="4">
        <v>578</v>
      </c>
      <c r="X36" s="4">
        <v>124</v>
      </c>
      <c r="Y36" s="4">
        <v>232</v>
      </c>
      <c r="Z36" s="4">
        <v>353</v>
      </c>
      <c r="AA36" s="4">
        <v>366</v>
      </c>
      <c r="AB36" s="4">
        <v>400</v>
      </c>
      <c r="AC36" s="4">
        <v>362</v>
      </c>
      <c r="AD36" s="4">
        <f>1769-194</f>
        <v>1575</v>
      </c>
      <c r="AE36" s="4">
        <v>939</v>
      </c>
      <c r="AF36" s="4">
        <f>476-56.9</f>
        <v>419.1</v>
      </c>
      <c r="AG36" s="4">
        <v>261</v>
      </c>
      <c r="AH36" s="4">
        <f>626-56.9</f>
        <v>569.1</v>
      </c>
      <c r="AI36" s="4">
        <f>586-56.9</f>
        <v>529.1</v>
      </c>
      <c r="AJ36" s="4">
        <v>0</v>
      </c>
      <c r="AK36" s="4">
        <v>522</v>
      </c>
      <c r="AL36" s="4">
        <v>367</v>
      </c>
      <c r="AM36" s="4">
        <v>61</v>
      </c>
      <c r="AN36" s="4">
        <v>756</v>
      </c>
      <c r="AO36" s="4">
        <f>822-56.9</f>
        <v>765.1</v>
      </c>
      <c r="AP36" s="4">
        <f>566-(18.1+19.2)</f>
        <v>528.7</v>
      </c>
      <c r="AQ36" s="4">
        <f>1672-194</f>
        <v>1478</v>
      </c>
      <c r="AR36" s="4">
        <v>635</v>
      </c>
      <c r="AS36" s="4">
        <v>321</v>
      </c>
      <c r="AT36" s="4">
        <v>406</v>
      </c>
      <c r="AU36" s="4">
        <v>287</v>
      </c>
      <c r="AV36" s="4">
        <v>233</v>
      </c>
      <c r="AW36" s="4">
        <f>456-32.5</f>
        <v>423.5</v>
      </c>
      <c r="AX36" s="4">
        <f>463-19.2</f>
        <v>443.8</v>
      </c>
      <c r="AY36" s="4">
        <f>519-46.4</f>
        <v>472.6</v>
      </c>
      <c r="AZ36" s="4">
        <v>459</v>
      </c>
      <c r="BA36" s="4">
        <v>373</v>
      </c>
      <c r="BB36" s="4">
        <v>1121</v>
      </c>
      <c r="BC36" s="4">
        <v>1329</v>
      </c>
      <c r="BD36" s="4">
        <f>678-56.9</f>
        <v>621.1</v>
      </c>
      <c r="BE36" s="4">
        <v>136</v>
      </c>
      <c r="BF36" s="4">
        <v>405</v>
      </c>
      <c r="BG36" s="4">
        <v>849</v>
      </c>
      <c r="BH36" s="4">
        <v>172</v>
      </c>
      <c r="BI36" s="4">
        <f>486-46.4</f>
        <v>439.6</v>
      </c>
    </row>
    <row r="37" spans="1:61" ht="15">
      <c r="A37" s="3" t="s">
        <v>56</v>
      </c>
      <c r="B37" s="5">
        <v>549</v>
      </c>
      <c r="C37" s="6">
        <v>93</v>
      </c>
      <c r="D37" s="5">
        <v>480</v>
      </c>
      <c r="E37" s="4">
        <v>906</v>
      </c>
      <c r="F37" s="6">
        <v>459</v>
      </c>
      <c r="G37" s="6">
        <v>452</v>
      </c>
      <c r="H37" s="6">
        <v>537</v>
      </c>
      <c r="I37" s="4">
        <v>586</v>
      </c>
      <c r="J37" s="6">
        <v>449</v>
      </c>
      <c r="K37" s="4">
        <v>624</v>
      </c>
      <c r="L37" s="7">
        <v>892</v>
      </c>
      <c r="M37" s="7">
        <v>863</v>
      </c>
      <c r="N37" s="5">
        <v>642</v>
      </c>
      <c r="O37" s="4">
        <v>591</v>
      </c>
      <c r="P37" s="5">
        <v>676</v>
      </c>
      <c r="Q37" s="6">
        <v>574</v>
      </c>
      <c r="R37" s="6">
        <v>646</v>
      </c>
      <c r="S37" s="6">
        <v>649</v>
      </c>
      <c r="T37" s="6">
        <v>679</v>
      </c>
      <c r="U37" s="6">
        <v>397</v>
      </c>
      <c r="V37" s="6">
        <v>3074</v>
      </c>
      <c r="W37" s="6">
        <v>766</v>
      </c>
      <c r="X37" s="6">
        <v>445</v>
      </c>
      <c r="Y37" s="6">
        <v>743</v>
      </c>
      <c r="Z37" s="6">
        <v>511</v>
      </c>
      <c r="AA37" s="6">
        <v>270</v>
      </c>
      <c r="AB37" s="6">
        <v>550</v>
      </c>
      <c r="AC37" s="6">
        <v>499</v>
      </c>
      <c r="AD37" s="6">
        <v>1059</v>
      </c>
      <c r="AE37" s="6">
        <v>422</v>
      </c>
      <c r="AF37" s="4">
        <v>568</v>
      </c>
      <c r="AG37" s="7">
        <v>743</v>
      </c>
      <c r="AH37" s="4">
        <v>721</v>
      </c>
      <c r="AI37" s="4">
        <v>683</v>
      </c>
      <c r="AJ37" s="7">
        <v>522</v>
      </c>
      <c r="AK37" s="7">
        <v>0</v>
      </c>
      <c r="AL37" s="7">
        <v>520</v>
      </c>
      <c r="AM37" s="7">
        <v>472</v>
      </c>
      <c r="AN37" s="7">
        <v>239</v>
      </c>
      <c r="AO37" s="4">
        <v>916</v>
      </c>
      <c r="AP37" s="7">
        <v>698</v>
      </c>
      <c r="AQ37" s="7">
        <v>962</v>
      </c>
      <c r="AR37" s="7">
        <v>118</v>
      </c>
      <c r="AS37" s="7">
        <v>499</v>
      </c>
      <c r="AT37" s="7">
        <v>556</v>
      </c>
      <c r="AU37" s="7">
        <v>288</v>
      </c>
      <c r="AV37" s="7">
        <v>395</v>
      </c>
      <c r="AW37" s="7">
        <v>574</v>
      </c>
      <c r="AX37" s="7">
        <v>595</v>
      </c>
      <c r="AY37" s="7">
        <v>657</v>
      </c>
      <c r="AZ37" s="7">
        <v>457</v>
      </c>
      <c r="BA37" s="7">
        <v>524</v>
      </c>
      <c r="BB37" s="4">
        <v>605</v>
      </c>
      <c r="BC37" s="7">
        <v>808</v>
      </c>
      <c r="BD37" s="4">
        <v>773</v>
      </c>
      <c r="BE37" s="7">
        <v>442</v>
      </c>
      <c r="BF37" s="4">
        <v>555</v>
      </c>
      <c r="BG37" s="7">
        <v>333</v>
      </c>
      <c r="BH37" s="4">
        <v>402</v>
      </c>
      <c r="BI37" s="4">
        <v>591</v>
      </c>
    </row>
    <row r="38" spans="1:61" ht="15">
      <c r="A38" s="3" t="s">
        <v>62</v>
      </c>
      <c r="B38" s="4">
        <v>45</v>
      </c>
      <c r="C38" s="4">
        <v>426</v>
      </c>
      <c r="D38" s="4">
        <v>40</v>
      </c>
      <c r="E38" s="4">
        <f>470-67.1</f>
        <v>402.9</v>
      </c>
      <c r="F38" s="4">
        <f>1082-(100+56.2)</f>
        <v>925.8</v>
      </c>
      <c r="G38" s="4">
        <v>920</v>
      </c>
      <c r="H38" s="4">
        <v>41</v>
      </c>
      <c r="I38" s="4">
        <f>97.1-(5.1+32.5)</f>
        <v>59.49999999999999</v>
      </c>
      <c r="J38" s="4">
        <v>72</v>
      </c>
      <c r="K38" s="4">
        <f>103-(32.5+5.1)</f>
        <v>65.4</v>
      </c>
      <c r="L38" s="4">
        <v>812</v>
      </c>
      <c r="M38" s="4">
        <v>706</v>
      </c>
      <c r="N38" s="4">
        <v>1156</v>
      </c>
      <c r="O38" s="4">
        <f>103-(32.5+5.1)</f>
        <v>65.4</v>
      </c>
      <c r="P38" s="4">
        <v>1188</v>
      </c>
      <c r="Q38" s="4">
        <f>95.5-19.2</f>
        <v>76.3</v>
      </c>
      <c r="R38" s="4">
        <v>682</v>
      </c>
      <c r="S38" s="4">
        <v>492</v>
      </c>
      <c r="T38" s="4">
        <v>1192</v>
      </c>
      <c r="U38" s="4">
        <v>122</v>
      </c>
      <c r="V38" s="4">
        <v>3587</v>
      </c>
      <c r="W38" s="4">
        <v>801</v>
      </c>
      <c r="X38" s="4">
        <v>360</v>
      </c>
      <c r="Y38" s="4">
        <v>599</v>
      </c>
      <c r="Z38" s="4">
        <v>21</v>
      </c>
      <c r="AA38" s="4">
        <v>293</v>
      </c>
      <c r="AB38" s="4">
        <v>58</v>
      </c>
      <c r="AC38" s="4">
        <v>35.6</v>
      </c>
      <c r="AD38" s="4">
        <f>1766-194</f>
        <v>1572</v>
      </c>
      <c r="AE38" s="4">
        <v>936</v>
      </c>
      <c r="AF38" s="4">
        <f>126-67.1</f>
        <v>58.900000000000006</v>
      </c>
      <c r="AG38" s="4">
        <v>628</v>
      </c>
      <c r="AH38" s="4">
        <f>274-67.1</f>
        <v>206.9</v>
      </c>
      <c r="AI38" s="4">
        <f>233-67.1</f>
        <v>165.9</v>
      </c>
      <c r="AJ38" s="4">
        <v>367</v>
      </c>
      <c r="AK38" s="4">
        <v>520</v>
      </c>
      <c r="AL38" s="4">
        <v>0</v>
      </c>
      <c r="AM38" s="4">
        <v>390</v>
      </c>
      <c r="AN38" s="4">
        <v>752</v>
      </c>
      <c r="AO38" s="4">
        <f>470-67.1</f>
        <v>402.9</v>
      </c>
      <c r="AP38" s="4">
        <f>224-(18.1+19.2)</f>
        <v>186.7</v>
      </c>
      <c r="AQ38" s="4">
        <f>1668-194</f>
        <v>1474</v>
      </c>
      <c r="AR38" s="4">
        <v>631</v>
      </c>
      <c r="AS38" s="4">
        <v>534</v>
      </c>
      <c r="AT38" s="4">
        <v>39</v>
      </c>
      <c r="AU38" s="4">
        <v>323</v>
      </c>
      <c r="AV38" s="4">
        <v>431</v>
      </c>
      <c r="AW38" s="4">
        <f>84.6-32.5</f>
        <v>52.099999999999994</v>
      </c>
      <c r="AX38" s="4">
        <f>121-19.2</f>
        <v>101.8</v>
      </c>
      <c r="AY38" s="4">
        <f>148-46.4</f>
        <v>101.6</v>
      </c>
      <c r="AZ38" s="4">
        <v>112</v>
      </c>
      <c r="BA38" s="4">
        <v>21</v>
      </c>
      <c r="BB38" s="4">
        <v>1118</v>
      </c>
      <c r="BC38" s="4">
        <v>1320</v>
      </c>
      <c r="BD38" s="4">
        <f>326-56.9</f>
        <v>269.1</v>
      </c>
      <c r="BE38" s="4">
        <v>371</v>
      </c>
      <c r="BF38" s="4">
        <v>49</v>
      </c>
      <c r="BG38" s="4">
        <v>846</v>
      </c>
      <c r="BH38" s="4">
        <v>408</v>
      </c>
      <c r="BI38" s="4">
        <f>114-46.4</f>
        <v>67.6</v>
      </c>
    </row>
    <row r="39" spans="1:61" ht="15">
      <c r="A39" s="3" t="s">
        <v>63</v>
      </c>
      <c r="B39" s="4">
        <v>417</v>
      </c>
      <c r="C39" s="4">
        <v>382</v>
      </c>
      <c r="D39" s="4">
        <v>351</v>
      </c>
      <c r="E39" s="4">
        <f>843-56.9</f>
        <v>786.1</v>
      </c>
      <c r="F39" s="4">
        <v>1038</v>
      </c>
      <c r="G39" s="4">
        <v>924</v>
      </c>
      <c r="H39" s="4">
        <v>412</v>
      </c>
      <c r="I39" s="4">
        <f>490-(5.1+32.5)</f>
        <v>452.4</v>
      </c>
      <c r="J39" s="4">
        <v>322</v>
      </c>
      <c r="K39" s="4">
        <f>496-(32.5+5.1)</f>
        <v>458.4</v>
      </c>
      <c r="L39" s="4">
        <v>506</v>
      </c>
      <c r="M39" s="4">
        <v>400</v>
      </c>
      <c r="N39" s="4">
        <v>1113</v>
      </c>
      <c r="O39" s="4">
        <f>496-(32.5+5.1)</f>
        <v>458.4</v>
      </c>
      <c r="P39" s="4">
        <v>1145</v>
      </c>
      <c r="Q39" s="4">
        <f>464-19.2</f>
        <v>444.8</v>
      </c>
      <c r="R39" s="4">
        <v>410</v>
      </c>
      <c r="S39" s="4">
        <v>186</v>
      </c>
      <c r="T39" s="4">
        <v>1149</v>
      </c>
      <c r="U39" s="4">
        <v>243</v>
      </c>
      <c r="V39" s="4">
        <v>3544</v>
      </c>
      <c r="W39" s="4">
        <v>530</v>
      </c>
      <c r="X39" s="4">
        <v>66</v>
      </c>
      <c r="Y39" s="4">
        <v>294</v>
      </c>
      <c r="Z39" s="4">
        <v>381</v>
      </c>
      <c r="AA39" s="4">
        <v>319</v>
      </c>
      <c r="AB39" s="4">
        <v>421</v>
      </c>
      <c r="AC39" s="4">
        <v>385</v>
      </c>
      <c r="AD39" s="4">
        <f>1722-194</f>
        <v>1528</v>
      </c>
      <c r="AE39" s="4">
        <v>888</v>
      </c>
      <c r="AF39" s="4">
        <f>497-56.9</f>
        <v>440.1</v>
      </c>
      <c r="AG39" s="4">
        <v>323</v>
      </c>
      <c r="AH39" s="4">
        <f>647-56.9</f>
        <v>590.1</v>
      </c>
      <c r="AI39" s="4">
        <f>607-56.9</f>
        <v>550.1</v>
      </c>
      <c r="AJ39" s="4">
        <v>61</v>
      </c>
      <c r="AK39" s="4">
        <v>472</v>
      </c>
      <c r="AL39" s="4">
        <v>390</v>
      </c>
      <c r="AM39" s="4">
        <v>0</v>
      </c>
      <c r="AN39" s="4">
        <v>708</v>
      </c>
      <c r="AO39" s="4">
        <f>843-56.9</f>
        <v>786.1</v>
      </c>
      <c r="AP39" s="4">
        <f>587-(18.1+19.2)</f>
        <v>549.7</v>
      </c>
      <c r="AQ39" s="4">
        <f>1625-194</f>
        <v>1431</v>
      </c>
      <c r="AR39" s="4">
        <v>588</v>
      </c>
      <c r="AS39" s="4">
        <v>263</v>
      </c>
      <c r="AT39" s="4">
        <v>428</v>
      </c>
      <c r="AU39" s="4">
        <v>240</v>
      </c>
      <c r="AV39" s="4">
        <v>173</v>
      </c>
      <c r="AW39" s="4">
        <f>478-32.5</f>
        <v>445.5</v>
      </c>
      <c r="AX39" s="4">
        <f>484-19.2</f>
        <v>464.8</v>
      </c>
      <c r="AY39" s="4">
        <f>541-46.4</f>
        <v>494.6</v>
      </c>
      <c r="AZ39" s="4">
        <v>481</v>
      </c>
      <c r="BA39" s="4">
        <v>395</v>
      </c>
      <c r="BB39" s="4">
        <v>1070</v>
      </c>
      <c r="BC39" s="4">
        <v>1278</v>
      </c>
      <c r="BD39" s="4">
        <f>700-56.9</f>
        <v>643.1</v>
      </c>
      <c r="BE39" s="4">
        <v>77</v>
      </c>
      <c r="BF39" s="4">
        <v>426</v>
      </c>
      <c r="BG39" s="4">
        <v>802</v>
      </c>
      <c r="BH39" s="4">
        <v>114</v>
      </c>
      <c r="BI39" s="4">
        <f>507-46.4</f>
        <v>460.6</v>
      </c>
    </row>
    <row r="40" spans="1:61" ht="15">
      <c r="A40" s="3" t="s">
        <v>55</v>
      </c>
      <c r="B40" s="4">
        <v>780</v>
      </c>
      <c r="C40" s="4">
        <v>326</v>
      </c>
      <c r="D40" s="4">
        <v>714</v>
      </c>
      <c r="E40" s="4">
        <v>1082.1</v>
      </c>
      <c r="F40" s="4">
        <v>696.8</v>
      </c>
      <c r="G40" s="4">
        <v>691</v>
      </c>
      <c r="H40" s="4">
        <v>774</v>
      </c>
      <c r="I40" s="4">
        <v>816.4</v>
      </c>
      <c r="J40" s="4">
        <v>684</v>
      </c>
      <c r="K40" s="4">
        <v>822.4</v>
      </c>
      <c r="L40" s="4">
        <v>876</v>
      </c>
      <c r="M40" s="4">
        <v>982</v>
      </c>
      <c r="N40" s="4">
        <v>405</v>
      </c>
      <c r="O40" s="4">
        <v>822.4</v>
      </c>
      <c r="P40" s="4">
        <v>437</v>
      </c>
      <c r="Q40" s="4">
        <v>808.8</v>
      </c>
      <c r="R40" s="4">
        <v>681</v>
      </c>
      <c r="S40" s="4">
        <v>882</v>
      </c>
      <c r="T40" s="4">
        <v>445</v>
      </c>
      <c r="U40" s="4">
        <v>631</v>
      </c>
      <c r="V40" s="4">
        <v>2840</v>
      </c>
      <c r="W40" s="4">
        <v>750</v>
      </c>
      <c r="X40" s="4">
        <v>680</v>
      </c>
      <c r="Y40" s="4">
        <v>991</v>
      </c>
      <c r="Z40" s="4">
        <v>743</v>
      </c>
      <c r="AA40" s="4">
        <v>504</v>
      </c>
      <c r="AB40" s="4">
        <v>783</v>
      </c>
      <c r="AC40" s="4">
        <v>732</v>
      </c>
      <c r="AD40" s="4">
        <v>825</v>
      </c>
      <c r="AE40" s="4">
        <v>184</v>
      </c>
      <c r="AF40" s="4">
        <v>736.1</v>
      </c>
      <c r="AG40" s="4">
        <v>977</v>
      </c>
      <c r="AH40" s="4">
        <v>886.1</v>
      </c>
      <c r="AI40" s="4">
        <v>914.1</v>
      </c>
      <c r="AJ40" s="4">
        <v>756</v>
      </c>
      <c r="AK40" s="4">
        <v>239</v>
      </c>
      <c r="AL40" s="4">
        <v>752</v>
      </c>
      <c r="AM40" s="4">
        <v>708</v>
      </c>
      <c r="AN40" s="4">
        <v>0</v>
      </c>
      <c r="AO40" s="4">
        <v>1082.1</v>
      </c>
      <c r="AP40" s="4">
        <v>845.7</v>
      </c>
      <c r="AQ40" s="4">
        <v>728</v>
      </c>
      <c r="AR40" s="4">
        <v>121</v>
      </c>
      <c r="AS40" s="4">
        <v>732</v>
      </c>
      <c r="AT40" s="4">
        <v>791</v>
      </c>
      <c r="AU40" s="4">
        <v>522</v>
      </c>
      <c r="AV40" s="4">
        <v>629</v>
      </c>
      <c r="AW40" s="4">
        <v>808.5</v>
      </c>
      <c r="AX40" s="4">
        <v>828.8</v>
      </c>
      <c r="AY40" s="4">
        <v>857.6</v>
      </c>
      <c r="AZ40" s="4">
        <v>690</v>
      </c>
      <c r="BA40" s="4">
        <v>758</v>
      </c>
      <c r="BB40" s="4">
        <v>371</v>
      </c>
      <c r="BC40" s="4">
        <v>574</v>
      </c>
      <c r="BD40" s="4">
        <v>938.1</v>
      </c>
      <c r="BE40" s="4">
        <v>677</v>
      </c>
      <c r="BF40" s="4">
        <v>789</v>
      </c>
      <c r="BG40" s="4">
        <v>98.9</v>
      </c>
      <c r="BH40" s="4">
        <v>637</v>
      </c>
      <c r="BI40" s="4">
        <v>823.6</v>
      </c>
    </row>
    <row r="41" spans="1:61" ht="15">
      <c r="A41" s="3" t="s">
        <v>20</v>
      </c>
      <c r="B41" s="4">
        <f>429-56.9</f>
        <v>372.1</v>
      </c>
      <c r="C41" s="4">
        <f>813-56.9</f>
        <v>756.1</v>
      </c>
      <c r="D41" s="4">
        <f>495-56.9</f>
        <v>438.1</v>
      </c>
      <c r="E41" s="4">
        <v>0</v>
      </c>
      <c r="F41" s="4">
        <f>453-(143+107+100+56.2)</f>
        <v>46.80000000000001</v>
      </c>
      <c r="G41" s="4">
        <f>297-(143+107)</f>
        <v>47</v>
      </c>
      <c r="H41" s="4">
        <f>435-56.9</f>
        <v>378.1</v>
      </c>
      <c r="I41" s="4">
        <v>382</v>
      </c>
      <c r="J41" s="4">
        <f>527-56.9</f>
        <v>470.1</v>
      </c>
      <c r="K41" s="4">
        <v>400</v>
      </c>
      <c r="L41" s="4">
        <f>1267-56.9</f>
        <v>1210.1</v>
      </c>
      <c r="M41" s="4">
        <f>1160-56.9</f>
        <v>1103.1</v>
      </c>
      <c r="N41" s="4">
        <f>1611-56.9</f>
        <v>1554.1</v>
      </c>
      <c r="O41" s="4">
        <v>400</v>
      </c>
      <c r="P41" s="4">
        <f>1643-56.9</f>
        <v>1586.1</v>
      </c>
      <c r="Q41" s="4">
        <f>407-(30.2+18.1)</f>
        <v>358.7</v>
      </c>
      <c r="R41" s="4">
        <f>1137-56.9</f>
        <v>1080.1</v>
      </c>
      <c r="S41" s="4">
        <f>947-56.9</f>
        <v>890.1</v>
      </c>
      <c r="T41" s="4">
        <f>845-510</f>
        <v>335</v>
      </c>
      <c r="U41" s="4">
        <f>576-56.9</f>
        <v>519.1</v>
      </c>
      <c r="V41" s="4">
        <f>3154-510</f>
        <v>2644</v>
      </c>
      <c r="W41" s="4">
        <f>1256-56.9</f>
        <v>1199.1</v>
      </c>
      <c r="X41" s="4">
        <f>815-56.9</f>
        <v>758.1</v>
      </c>
      <c r="Y41" s="4">
        <f>1054-56.9</f>
        <v>997.1</v>
      </c>
      <c r="Z41" s="4">
        <f>477-56.9</f>
        <v>420.1</v>
      </c>
      <c r="AA41" s="4">
        <f>637-56.9</f>
        <v>580.1</v>
      </c>
      <c r="AB41" s="4">
        <f>425-56.9</f>
        <v>368.1</v>
      </c>
      <c r="AC41" s="4">
        <f>469-56.9</f>
        <v>412.1</v>
      </c>
      <c r="AD41" s="4">
        <f>850-(510+194)</f>
        <v>146</v>
      </c>
      <c r="AE41" s="4">
        <v>1333</v>
      </c>
      <c r="AF41" s="4">
        <v>347</v>
      </c>
      <c r="AG41" s="4">
        <f>1084-56.9</f>
        <v>1027.1</v>
      </c>
      <c r="AH41" s="4">
        <v>200</v>
      </c>
      <c r="AI41" s="4">
        <v>248</v>
      </c>
      <c r="AJ41" s="4">
        <f>822-56.9</f>
        <v>765.1</v>
      </c>
      <c r="AK41" s="4">
        <v>916</v>
      </c>
      <c r="AL41" s="4">
        <f>470-67.1</f>
        <v>402.9</v>
      </c>
      <c r="AM41" s="4">
        <f>843-56.9</f>
        <v>786.1</v>
      </c>
      <c r="AN41" s="4">
        <f>1139-56.9</f>
        <v>1082.1</v>
      </c>
      <c r="AO41" s="4">
        <v>0</v>
      </c>
      <c r="AP41" s="4">
        <f>282-30.2</f>
        <v>251.8</v>
      </c>
      <c r="AQ41" s="4">
        <f>754-(510+194)</f>
        <v>50</v>
      </c>
      <c r="AR41" s="4">
        <f>1018-56.9</f>
        <v>961.1</v>
      </c>
      <c r="AS41" s="4">
        <f>989-56.9</f>
        <v>932.1</v>
      </c>
      <c r="AT41" s="4">
        <f>440-56.9</f>
        <v>383.1</v>
      </c>
      <c r="AU41" s="4">
        <f>778-56.9</f>
        <v>721.1</v>
      </c>
      <c r="AV41" s="4">
        <f>886-56.9</f>
        <v>829.1</v>
      </c>
      <c r="AW41" s="4">
        <f>416-5.1</f>
        <v>410.9</v>
      </c>
      <c r="AX41" s="4">
        <f>385-(30.2+18.1)</f>
        <v>336.7</v>
      </c>
      <c r="AY41" s="4">
        <v>468</v>
      </c>
      <c r="AZ41" s="4">
        <f>450-56.9</f>
        <v>393.1</v>
      </c>
      <c r="BA41" s="4">
        <f>460-56.9</f>
        <v>403.1</v>
      </c>
      <c r="BB41" s="4">
        <v>1515</v>
      </c>
      <c r="BC41" s="4">
        <f>702-510</f>
        <v>192</v>
      </c>
      <c r="BD41" s="4">
        <v>465</v>
      </c>
      <c r="BE41" s="4">
        <f>826-56.9</f>
        <v>769.1</v>
      </c>
      <c r="BF41" s="4">
        <f>436-56.9</f>
        <v>379.1</v>
      </c>
      <c r="BG41" s="4">
        <f>1300-56.9</f>
        <v>1243.1</v>
      </c>
      <c r="BH41" s="4">
        <f>863-56.9</f>
        <v>806.1</v>
      </c>
      <c r="BI41" s="4">
        <v>462</v>
      </c>
    </row>
    <row r="42" spans="1:61" ht="15">
      <c r="A42" s="3" t="s">
        <v>21</v>
      </c>
      <c r="B42" s="4">
        <f>173-(19.2+18.1)</f>
        <v>135.7</v>
      </c>
      <c r="C42" s="4">
        <f>557-(18.1+19.2)</f>
        <v>519.7</v>
      </c>
      <c r="D42" s="4">
        <f>239-(18.1+19.2)</f>
        <v>201.7</v>
      </c>
      <c r="E42" s="4">
        <f>282-30.2</f>
        <v>251.8</v>
      </c>
      <c r="F42" s="4">
        <f>729-(56.2+100+107+30.2)</f>
        <v>435.6</v>
      </c>
      <c r="G42" s="4">
        <f>573-(30.2+143)</f>
        <v>399.8</v>
      </c>
      <c r="H42" s="4">
        <f>179-(18.1+19.2)</f>
        <v>141.7</v>
      </c>
      <c r="I42" s="4">
        <f>182-30.2</f>
        <v>151.8</v>
      </c>
      <c r="J42" s="4">
        <f>271-(18.1+19.2)</f>
        <v>233.7</v>
      </c>
      <c r="K42" s="4">
        <f>200-30.2</f>
        <v>169.8</v>
      </c>
      <c r="L42" s="4">
        <f>1010-(18.1+19.2)</f>
        <v>972.7</v>
      </c>
      <c r="M42" s="4">
        <f>904-(18.1+19.2)</f>
        <v>866.7</v>
      </c>
      <c r="N42" s="4">
        <f>1355-(18.1+19.2)</f>
        <v>1317.7</v>
      </c>
      <c r="O42" s="4">
        <f>200-30.2</f>
        <v>169.8</v>
      </c>
      <c r="P42" s="4">
        <f>1387-(18.1+19.2)</f>
        <v>1349.7</v>
      </c>
      <c r="Q42" s="4">
        <f>126-18.1</f>
        <v>107.9</v>
      </c>
      <c r="R42" s="4">
        <f>881-(18.1+19.2)</f>
        <v>843.7</v>
      </c>
      <c r="S42" s="4">
        <f>691-(18.1+19.2)</f>
        <v>653.7</v>
      </c>
      <c r="T42" s="4">
        <f>1390-(18.1+19.2)</f>
        <v>1352.7</v>
      </c>
      <c r="U42" s="4">
        <f>320-(18.1+19.2)</f>
        <v>282.7</v>
      </c>
      <c r="V42" s="4">
        <f>3786-(18.1+19.2)</f>
        <v>3748.7</v>
      </c>
      <c r="W42" s="4">
        <f>1000-(18.1+19.2)</f>
        <v>962.7</v>
      </c>
      <c r="X42" s="4">
        <f>559-(18.1+19.2)</f>
        <v>521.7</v>
      </c>
      <c r="Y42" s="4">
        <f>798-(18.1+19.2)</f>
        <v>760.7</v>
      </c>
      <c r="Z42" s="4">
        <f>221-(18.1+19.2)</f>
        <v>183.7</v>
      </c>
      <c r="AA42" s="4">
        <f>381-(18.1+19.2)</f>
        <v>343.7</v>
      </c>
      <c r="AB42" s="4">
        <f>169-(18.1+19.2)</f>
        <v>131.7</v>
      </c>
      <c r="AC42" s="4">
        <f>213-(18.1+19.2)</f>
        <v>175.7</v>
      </c>
      <c r="AD42" s="4">
        <f>1127-(194+510+30.2)</f>
        <v>392.79999999999995</v>
      </c>
      <c r="AE42" s="4">
        <v>1115</v>
      </c>
      <c r="AF42" s="4">
        <f>147-30.2</f>
        <v>116.8</v>
      </c>
      <c r="AG42" s="4">
        <f>828-(18.1+19.2)</f>
        <v>790.7</v>
      </c>
      <c r="AH42" s="4">
        <f>77.4-30.2</f>
        <v>47.2</v>
      </c>
      <c r="AI42" s="4">
        <f>37.1-30.2</f>
        <v>6.900000000000002</v>
      </c>
      <c r="AJ42" s="4">
        <f>566-(18.1+19.2)</f>
        <v>528.7</v>
      </c>
      <c r="AK42" s="4">
        <v>698</v>
      </c>
      <c r="AL42" s="4">
        <f>224-(18.1+19.2)</f>
        <v>186.7</v>
      </c>
      <c r="AM42" s="4">
        <f>587-(18.1+19.2)</f>
        <v>549.7</v>
      </c>
      <c r="AN42" s="4">
        <f>883-(18.1+19.2)</f>
        <v>845.7</v>
      </c>
      <c r="AO42" s="4">
        <f>282-30.2</f>
        <v>251.8</v>
      </c>
      <c r="AP42" s="4">
        <v>0</v>
      </c>
      <c r="AQ42" s="4">
        <f>1030-(194+510+30.2)</f>
        <v>295.79999999999995</v>
      </c>
      <c r="AR42" s="4">
        <f>762-(18.1+19.2)</f>
        <v>724.7</v>
      </c>
      <c r="AS42" s="4">
        <f>733-(18.1+19.2)</f>
        <v>695.7</v>
      </c>
      <c r="AT42" s="4">
        <f>184-(18.1+19.2)</f>
        <v>146.7</v>
      </c>
      <c r="AU42" s="4">
        <f>522-(18.1+19.2)</f>
        <v>484.7</v>
      </c>
      <c r="AV42" s="4">
        <f>630-(18.1+19.2)</f>
        <v>592.7</v>
      </c>
      <c r="AW42" s="4">
        <f>216-(30.2+5.1)</f>
        <v>180.7</v>
      </c>
      <c r="AX42" s="4">
        <f>103-18.1</f>
        <v>84.9</v>
      </c>
      <c r="AY42" s="4">
        <f>268-30.2</f>
        <v>237.8</v>
      </c>
      <c r="AZ42" s="4">
        <f>194-(18.1+19.2)</f>
        <v>156.7</v>
      </c>
      <c r="BA42" s="4">
        <f>204-(18.1+19.2)</f>
        <v>166.7</v>
      </c>
      <c r="BB42" s="4">
        <v>1296</v>
      </c>
      <c r="BC42" s="4">
        <f>1519-(18.1+19.2)</f>
        <v>1481.7</v>
      </c>
      <c r="BD42" s="4">
        <f>266-30.2</f>
        <v>235.8</v>
      </c>
      <c r="BE42" s="4">
        <f>570-(18.1+19.2)</f>
        <v>532.7</v>
      </c>
      <c r="BF42" s="4">
        <f>179-(18.1+19.2)</f>
        <v>141.7</v>
      </c>
      <c r="BG42" s="4">
        <f>977-(18.1+19.2)</f>
        <v>939.7</v>
      </c>
      <c r="BH42" s="4">
        <f>607-(18.1+19.2)</f>
        <v>569.7</v>
      </c>
      <c r="BI42" s="4">
        <f>262-30.2</f>
        <v>231.8</v>
      </c>
    </row>
    <row r="43" spans="1:61" ht="15">
      <c r="A43" s="3" t="s">
        <v>22</v>
      </c>
      <c r="B43" s="4">
        <f>1697-194</f>
        <v>1503</v>
      </c>
      <c r="C43" s="4">
        <f>1242-194</f>
        <v>1048</v>
      </c>
      <c r="D43" s="4">
        <f>1630-194</f>
        <v>1436</v>
      </c>
      <c r="E43" s="4">
        <f>754-(510+194)</f>
        <v>50</v>
      </c>
      <c r="F43" s="4">
        <f>526-(325+194)</f>
        <v>7</v>
      </c>
      <c r="G43" s="4">
        <f>1607-194</f>
        <v>1413</v>
      </c>
      <c r="H43" s="4">
        <f>1691-194</f>
        <v>1497</v>
      </c>
      <c r="I43" s="4">
        <f>1129-(194+510)</f>
        <v>425</v>
      </c>
      <c r="J43" s="4">
        <f>1601-194</f>
        <v>1407</v>
      </c>
      <c r="K43" s="4">
        <f>1147-(194+510)</f>
        <v>443</v>
      </c>
      <c r="L43" s="4">
        <f>1797-194</f>
        <v>1603</v>
      </c>
      <c r="M43" s="4">
        <f>1903-194</f>
        <v>1709</v>
      </c>
      <c r="N43" s="4">
        <f>1326-194</f>
        <v>1132</v>
      </c>
      <c r="O43" s="4">
        <f>1147-(194+510)</f>
        <v>443</v>
      </c>
      <c r="P43" s="4">
        <f>1358-194</f>
        <v>1164</v>
      </c>
      <c r="Q43" s="4">
        <f>1743-(194+19.2)</f>
        <v>1529.8</v>
      </c>
      <c r="R43" s="4">
        <f>1602-194</f>
        <v>1408</v>
      </c>
      <c r="S43" s="4">
        <f>1799-194</f>
        <v>1605</v>
      </c>
      <c r="T43" s="4">
        <f>492-194</f>
        <v>298</v>
      </c>
      <c r="U43" s="4">
        <f>1547-194</f>
        <v>1353</v>
      </c>
      <c r="V43" s="4">
        <f>2801-194</f>
        <v>2607</v>
      </c>
      <c r="W43" s="4">
        <f>1670-194</f>
        <v>1476</v>
      </c>
      <c r="X43" s="4">
        <f>1596-194</f>
        <v>1402</v>
      </c>
      <c r="Y43" s="4">
        <f>1906-194</f>
        <v>1712</v>
      </c>
      <c r="Z43" s="4">
        <f>1660-194</f>
        <v>1466</v>
      </c>
      <c r="AA43" s="4">
        <f>1420-194</f>
        <v>1226</v>
      </c>
      <c r="AB43" s="4">
        <f>1700-194</f>
        <v>1506</v>
      </c>
      <c r="AC43" s="4">
        <f>1649-194</f>
        <v>1455</v>
      </c>
      <c r="AD43" s="4">
        <v>109</v>
      </c>
      <c r="AE43" s="4">
        <v>911</v>
      </c>
      <c r="AF43" s="4">
        <f>1095-(194+510)</f>
        <v>391</v>
      </c>
      <c r="AG43" s="4">
        <f>1893-194</f>
        <v>1699</v>
      </c>
      <c r="AH43" s="4">
        <f>948-(510+194)</f>
        <v>244</v>
      </c>
      <c r="AI43" s="4">
        <f>997-(510+194)</f>
        <v>293</v>
      </c>
      <c r="AJ43" s="4">
        <f>1672-194</f>
        <v>1478</v>
      </c>
      <c r="AK43" s="4">
        <v>962</v>
      </c>
      <c r="AL43" s="4">
        <f>1668-194</f>
        <v>1474</v>
      </c>
      <c r="AM43" s="4">
        <f>1625-194</f>
        <v>1431</v>
      </c>
      <c r="AN43" s="4">
        <f>922-194</f>
        <v>728</v>
      </c>
      <c r="AO43" s="4">
        <f>754-(510+194)</f>
        <v>50</v>
      </c>
      <c r="AP43" s="4">
        <f>1030-(194+510+30.2)</f>
        <v>295.79999999999995</v>
      </c>
      <c r="AQ43" s="4">
        <v>0</v>
      </c>
      <c r="AR43" s="4">
        <f>1037-194</f>
        <v>843</v>
      </c>
      <c r="AS43" s="4">
        <f>1649-194</f>
        <v>1455</v>
      </c>
      <c r="AT43" s="4">
        <f>1707-194</f>
        <v>1513</v>
      </c>
      <c r="AU43" s="4">
        <f>1437-194</f>
        <v>1243</v>
      </c>
      <c r="AV43" s="4">
        <f>1545-194</f>
        <v>1351</v>
      </c>
      <c r="AW43" s="4">
        <f>1757-(194+32.5)</f>
        <v>1530.5</v>
      </c>
      <c r="AX43" s="4">
        <f>1764-(194+19.2)</f>
        <v>1550.8</v>
      </c>
      <c r="AY43" s="4">
        <f>1215-(194+510)</f>
        <v>511</v>
      </c>
      <c r="AZ43" s="4">
        <f>1607-194</f>
        <v>1413</v>
      </c>
      <c r="BA43" s="4">
        <f>1674-194</f>
        <v>1480</v>
      </c>
      <c r="BB43" s="4">
        <v>358</v>
      </c>
      <c r="BC43" s="4">
        <f>349-194</f>
        <v>155</v>
      </c>
      <c r="BD43" s="4">
        <f>1213-(194+510)</f>
        <v>509</v>
      </c>
      <c r="BE43" s="4">
        <f>1593-194</f>
        <v>1399</v>
      </c>
      <c r="BF43" s="4">
        <f>1705-194</f>
        <v>1511</v>
      </c>
      <c r="BG43" s="4">
        <f>823-194</f>
        <v>629</v>
      </c>
      <c r="BH43" s="4">
        <f>1553-194</f>
        <v>1359</v>
      </c>
      <c r="BI43" s="4">
        <f>1787-(194+46.4)</f>
        <v>1546.6</v>
      </c>
    </row>
    <row r="44" spans="1:61" ht="15">
      <c r="A44" s="3" t="s">
        <v>23</v>
      </c>
      <c r="B44" s="4">
        <v>659</v>
      </c>
      <c r="C44" s="4">
        <v>205</v>
      </c>
      <c r="D44" s="4">
        <v>593</v>
      </c>
      <c r="E44" s="4">
        <f>1018-56.9</f>
        <v>961.1</v>
      </c>
      <c r="F44" s="4">
        <f>732-(100+56.2)</f>
        <v>575.8</v>
      </c>
      <c r="G44" s="4">
        <v>570</v>
      </c>
      <c r="H44" s="4">
        <v>653</v>
      </c>
      <c r="I44" s="4">
        <f>733-(5.1+32.5)</f>
        <v>695.4</v>
      </c>
      <c r="J44" s="4">
        <v>564</v>
      </c>
      <c r="K44" s="4">
        <f>739-(5.1+32.5)</f>
        <v>701.4</v>
      </c>
      <c r="L44" s="4">
        <v>986</v>
      </c>
      <c r="M44" s="4">
        <v>973</v>
      </c>
      <c r="N44" s="4">
        <v>525</v>
      </c>
      <c r="O44" s="4">
        <f>739-(5.1+32.5)</f>
        <v>701.4</v>
      </c>
      <c r="P44" s="4">
        <v>557</v>
      </c>
      <c r="Q44" s="4">
        <f>707-19.2</f>
        <v>687.8</v>
      </c>
      <c r="R44" s="4">
        <v>759</v>
      </c>
      <c r="S44" s="4">
        <v>761</v>
      </c>
      <c r="T44" s="4">
        <v>561</v>
      </c>
      <c r="U44" s="4">
        <v>510</v>
      </c>
      <c r="V44" s="4">
        <v>2956</v>
      </c>
      <c r="W44" s="4">
        <v>859</v>
      </c>
      <c r="X44" s="4">
        <v>559</v>
      </c>
      <c r="Y44" s="4">
        <v>870</v>
      </c>
      <c r="Z44" s="4">
        <v>617</v>
      </c>
      <c r="AA44" s="4">
        <v>383</v>
      </c>
      <c r="AB44" s="4">
        <v>664</v>
      </c>
      <c r="AC44" s="4">
        <v>611</v>
      </c>
      <c r="AD44" s="4">
        <f>1135-194</f>
        <v>941</v>
      </c>
      <c r="AE44" s="4">
        <v>304</v>
      </c>
      <c r="AF44" s="4">
        <f>740-56.9</f>
        <v>683.1</v>
      </c>
      <c r="AG44" s="4">
        <v>855</v>
      </c>
      <c r="AH44" s="4">
        <f>822-56.9</f>
        <v>765.1</v>
      </c>
      <c r="AI44" s="4">
        <f>850-56.9</f>
        <v>793.1</v>
      </c>
      <c r="AJ44" s="4">
        <v>635</v>
      </c>
      <c r="AK44" s="4">
        <v>118</v>
      </c>
      <c r="AL44" s="4">
        <v>631</v>
      </c>
      <c r="AM44" s="4">
        <v>588</v>
      </c>
      <c r="AN44" s="4">
        <v>121</v>
      </c>
      <c r="AO44" s="4">
        <f>1018-56.9</f>
        <v>961.1</v>
      </c>
      <c r="AP44" s="4">
        <f>762-(18.1+19.2)</f>
        <v>724.7</v>
      </c>
      <c r="AQ44" s="4">
        <f>1037-194</f>
        <v>843</v>
      </c>
      <c r="AR44" s="4">
        <v>0</v>
      </c>
      <c r="AS44" s="4">
        <v>611</v>
      </c>
      <c r="AT44" s="4">
        <v>670</v>
      </c>
      <c r="AU44" s="4">
        <v>400</v>
      </c>
      <c r="AV44" s="4">
        <v>447</v>
      </c>
      <c r="AW44" s="4">
        <f>720-32.5</f>
        <v>687.5</v>
      </c>
      <c r="AX44" s="4">
        <f>727-19.2</f>
        <v>707.8</v>
      </c>
      <c r="AY44" s="4">
        <f>783-46.4</f>
        <v>736.6</v>
      </c>
      <c r="AZ44" s="4">
        <v>574</v>
      </c>
      <c r="BA44" s="4">
        <v>637</v>
      </c>
      <c r="BB44" s="4">
        <v>486</v>
      </c>
      <c r="BC44" s="4">
        <v>689</v>
      </c>
      <c r="BD44" s="4">
        <f>942-56.9</f>
        <v>885.1</v>
      </c>
      <c r="BE44" s="4">
        <v>556</v>
      </c>
      <c r="BF44" s="4">
        <v>669</v>
      </c>
      <c r="BG44" s="4">
        <v>215</v>
      </c>
      <c r="BH44" s="4">
        <v>517</v>
      </c>
      <c r="BI44" s="4">
        <f>750-46.4</f>
        <v>703.6</v>
      </c>
    </row>
    <row r="45" spans="1:61" ht="15">
      <c r="A45" s="3" t="s">
        <v>24</v>
      </c>
      <c r="B45" s="4">
        <v>563</v>
      </c>
      <c r="C45" s="4">
        <v>407</v>
      </c>
      <c r="D45" s="4">
        <v>496</v>
      </c>
      <c r="E45" s="4">
        <f>989-56.9</f>
        <v>932.1</v>
      </c>
      <c r="F45" s="4">
        <f>1063-(100+56.2)</f>
        <v>906.8</v>
      </c>
      <c r="G45" s="4">
        <v>890</v>
      </c>
      <c r="H45" s="4">
        <v>556</v>
      </c>
      <c r="I45" s="4">
        <f>636-(5.1+32.5)</f>
        <v>598.4</v>
      </c>
      <c r="J45" s="4">
        <v>467</v>
      </c>
      <c r="K45" s="4">
        <f>642-(5.1+32.5)</f>
        <v>604.4</v>
      </c>
      <c r="L45" s="4">
        <v>395</v>
      </c>
      <c r="M45" s="4">
        <v>366</v>
      </c>
      <c r="N45" s="4">
        <v>974</v>
      </c>
      <c r="O45" s="4">
        <f>642-(5.1+32.5)</f>
        <v>604.4</v>
      </c>
      <c r="P45" s="4">
        <v>1051</v>
      </c>
      <c r="Q45" s="4">
        <f>610-19.2</f>
        <v>590.8</v>
      </c>
      <c r="R45" s="4">
        <v>148</v>
      </c>
      <c r="S45" s="4">
        <v>343</v>
      </c>
      <c r="T45" s="4">
        <v>1172</v>
      </c>
      <c r="U45" s="4">
        <v>414</v>
      </c>
      <c r="V45" s="4">
        <v>3566</v>
      </c>
      <c r="W45" s="4">
        <v>268</v>
      </c>
      <c r="X45" s="4">
        <v>198</v>
      </c>
      <c r="Y45" s="4">
        <v>277</v>
      </c>
      <c r="Z45" s="4">
        <v>521</v>
      </c>
      <c r="AA45" s="4">
        <v>382</v>
      </c>
      <c r="AB45" s="4">
        <v>567</v>
      </c>
      <c r="AC45" s="4">
        <v>530</v>
      </c>
      <c r="AD45" s="4">
        <f>1746-194</f>
        <v>1552</v>
      </c>
      <c r="AE45" s="4">
        <v>915</v>
      </c>
      <c r="AF45" s="4">
        <f>644-56.9</f>
        <v>587.1</v>
      </c>
      <c r="AG45" s="4">
        <v>250</v>
      </c>
      <c r="AH45" s="4">
        <f>794-56.9</f>
        <v>737.1</v>
      </c>
      <c r="AI45" s="4">
        <f>753-56.9</f>
        <v>696.1</v>
      </c>
      <c r="AJ45" s="4">
        <v>321</v>
      </c>
      <c r="AK45" s="4">
        <v>499</v>
      </c>
      <c r="AL45" s="4">
        <v>534</v>
      </c>
      <c r="AM45" s="4">
        <v>263</v>
      </c>
      <c r="AN45" s="4">
        <v>732</v>
      </c>
      <c r="AO45" s="4">
        <f>989-56.9</f>
        <v>932.1</v>
      </c>
      <c r="AP45" s="4">
        <f>733-(18.1+19.2)</f>
        <v>695.7</v>
      </c>
      <c r="AQ45" s="4">
        <f>1649-194</f>
        <v>1455</v>
      </c>
      <c r="AR45" s="4">
        <v>611</v>
      </c>
      <c r="AS45" s="4">
        <v>0</v>
      </c>
      <c r="AT45" s="4">
        <v>573</v>
      </c>
      <c r="AU45" s="4">
        <v>213</v>
      </c>
      <c r="AV45" s="4">
        <v>103</v>
      </c>
      <c r="AW45" s="4">
        <f>624-32.5</f>
        <v>591.5</v>
      </c>
      <c r="AX45" s="4">
        <f>630-19.2</f>
        <v>610.8</v>
      </c>
      <c r="AY45" s="4">
        <f>687-46.4</f>
        <v>640.6</v>
      </c>
      <c r="AZ45" s="4">
        <v>627</v>
      </c>
      <c r="BA45" s="4">
        <v>540</v>
      </c>
      <c r="BB45" s="4">
        <v>1097</v>
      </c>
      <c r="BC45" s="4">
        <v>1305</v>
      </c>
      <c r="BD45" s="4">
        <f>846-56.9</f>
        <v>789.1</v>
      </c>
      <c r="BE45" s="4">
        <v>188</v>
      </c>
      <c r="BF45" s="4">
        <v>572</v>
      </c>
      <c r="BG45" s="4">
        <v>826</v>
      </c>
      <c r="BH45" s="4">
        <v>148</v>
      </c>
      <c r="BI45" s="4">
        <f>653-46.4</f>
        <v>606.6</v>
      </c>
    </row>
    <row r="46" spans="1:61" ht="15">
      <c r="A46" s="3" t="s">
        <v>47</v>
      </c>
      <c r="B46" s="4">
        <v>11</v>
      </c>
      <c r="C46" s="4">
        <v>465</v>
      </c>
      <c r="D46" s="4">
        <v>78</v>
      </c>
      <c r="E46" s="4">
        <f>440-56.9</f>
        <v>383.1</v>
      </c>
      <c r="F46" s="4">
        <f>1121-(100+56.2)</f>
        <v>964.8</v>
      </c>
      <c r="G46" s="4">
        <v>1006</v>
      </c>
      <c r="H46" s="4">
        <v>20</v>
      </c>
      <c r="I46" s="4">
        <f>86.8-(5.1+32.5)</f>
        <v>49.199999999999996</v>
      </c>
      <c r="J46" s="4">
        <v>111</v>
      </c>
      <c r="K46" s="4">
        <f>93-(32.5+5.1)</f>
        <v>55.4</v>
      </c>
      <c r="L46" s="4">
        <v>851</v>
      </c>
      <c r="M46" s="4">
        <v>745</v>
      </c>
      <c r="N46" s="4">
        <v>1195</v>
      </c>
      <c r="O46" s="4">
        <f>93-(32.5+5.1)</f>
        <v>55.4</v>
      </c>
      <c r="P46" s="4">
        <v>1227</v>
      </c>
      <c r="Q46" s="4">
        <f>74.3-19.2</f>
        <v>55.099999999999994</v>
      </c>
      <c r="R46" s="4">
        <v>721</v>
      </c>
      <c r="S46" s="4">
        <v>531</v>
      </c>
      <c r="T46" s="4">
        <v>1231</v>
      </c>
      <c r="U46" s="4">
        <v>161</v>
      </c>
      <c r="V46" s="4">
        <v>3626</v>
      </c>
      <c r="W46" s="4">
        <v>840</v>
      </c>
      <c r="X46" s="4">
        <v>399</v>
      </c>
      <c r="Y46" s="4">
        <v>638</v>
      </c>
      <c r="Z46" s="4">
        <v>56</v>
      </c>
      <c r="AA46" s="4">
        <v>332</v>
      </c>
      <c r="AB46" s="4">
        <v>31</v>
      </c>
      <c r="AC46" s="4">
        <v>56.3</v>
      </c>
      <c r="AD46" s="4">
        <f>1804-194</f>
        <v>1610</v>
      </c>
      <c r="AE46" s="4">
        <v>973</v>
      </c>
      <c r="AF46" s="4">
        <f>95-56.9</f>
        <v>38.1</v>
      </c>
      <c r="AG46" s="4">
        <v>667</v>
      </c>
      <c r="AH46" s="4">
        <f>244-56.9</f>
        <v>187.1</v>
      </c>
      <c r="AI46" s="4">
        <f>204-56.9</f>
        <v>147.1</v>
      </c>
      <c r="AJ46" s="4">
        <v>406</v>
      </c>
      <c r="AK46" s="4">
        <v>556</v>
      </c>
      <c r="AL46" s="4">
        <v>39</v>
      </c>
      <c r="AM46" s="4">
        <v>428</v>
      </c>
      <c r="AN46" s="4">
        <v>791</v>
      </c>
      <c r="AO46" s="4">
        <f>440-56.9</f>
        <v>383.1</v>
      </c>
      <c r="AP46" s="4">
        <f>184-(18.1+19.2)</f>
        <v>146.7</v>
      </c>
      <c r="AQ46" s="4">
        <f>1707-194</f>
        <v>1513</v>
      </c>
      <c r="AR46" s="4">
        <v>670</v>
      </c>
      <c r="AS46" s="4">
        <v>573</v>
      </c>
      <c r="AT46" s="4">
        <v>0</v>
      </c>
      <c r="AU46" s="4">
        <v>362</v>
      </c>
      <c r="AV46" s="4">
        <v>470</v>
      </c>
      <c r="AW46" s="4">
        <f>74.3-32.5</f>
        <v>41.8</v>
      </c>
      <c r="AX46" s="4">
        <f>94.3-19.2</f>
        <v>75.1</v>
      </c>
      <c r="AY46" s="4">
        <f>137-46.4</f>
        <v>90.6</v>
      </c>
      <c r="AZ46" s="4">
        <v>77.8</v>
      </c>
      <c r="BA46" s="4">
        <v>29</v>
      </c>
      <c r="BB46" s="4">
        <v>1155</v>
      </c>
      <c r="BC46" s="4">
        <v>1359</v>
      </c>
      <c r="BD46" s="4">
        <f>297-56.9</f>
        <v>240.1</v>
      </c>
      <c r="BE46" s="4">
        <v>410</v>
      </c>
      <c r="BF46" s="4">
        <v>14</v>
      </c>
      <c r="BG46" s="4">
        <v>884</v>
      </c>
      <c r="BH46" s="4">
        <v>447</v>
      </c>
      <c r="BI46" s="4">
        <f>104-46.4</f>
        <v>57.6</v>
      </c>
    </row>
    <row r="47" spans="1:61" ht="15">
      <c r="A47" s="3" t="s">
        <v>67</v>
      </c>
      <c r="B47" s="4">
        <v>351</v>
      </c>
      <c r="C47" s="4">
        <v>195</v>
      </c>
      <c r="D47" s="4">
        <v>285</v>
      </c>
      <c r="E47" s="4">
        <v>721.1</v>
      </c>
      <c r="F47" s="4">
        <v>694.8</v>
      </c>
      <c r="G47" s="4">
        <v>735</v>
      </c>
      <c r="H47" s="4">
        <v>344</v>
      </c>
      <c r="I47" s="4">
        <v>387.4</v>
      </c>
      <c r="J47" s="4">
        <v>255</v>
      </c>
      <c r="K47" s="4">
        <v>392.4</v>
      </c>
      <c r="L47" s="4">
        <v>607</v>
      </c>
      <c r="M47" s="4">
        <v>577</v>
      </c>
      <c r="N47" s="4">
        <v>925</v>
      </c>
      <c r="O47" s="4">
        <v>392.4</v>
      </c>
      <c r="P47" s="4">
        <v>957</v>
      </c>
      <c r="Q47" s="4">
        <v>378.8</v>
      </c>
      <c r="R47" s="4">
        <v>361</v>
      </c>
      <c r="S47" s="4">
        <v>363</v>
      </c>
      <c r="T47" s="4">
        <v>960</v>
      </c>
      <c r="U47" s="4">
        <v>203</v>
      </c>
      <c r="V47" s="4">
        <v>3355</v>
      </c>
      <c r="W47" s="4">
        <v>480</v>
      </c>
      <c r="X47" s="4">
        <v>210</v>
      </c>
      <c r="Y47" s="4">
        <v>472</v>
      </c>
      <c r="Z47" s="4">
        <v>313</v>
      </c>
      <c r="AA47" s="4">
        <v>170</v>
      </c>
      <c r="AB47" s="4">
        <v>355</v>
      </c>
      <c r="AC47" s="4">
        <v>310</v>
      </c>
      <c r="AD47" s="4">
        <v>1340</v>
      </c>
      <c r="AE47" s="4">
        <v>704</v>
      </c>
      <c r="AF47" s="4">
        <v>375.1</v>
      </c>
      <c r="AG47" s="4">
        <v>457</v>
      </c>
      <c r="AH47" s="4">
        <v>525.1</v>
      </c>
      <c r="AI47" s="4">
        <v>485.1</v>
      </c>
      <c r="AJ47" s="4">
        <v>287</v>
      </c>
      <c r="AK47" s="4">
        <v>288</v>
      </c>
      <c r="AL47" s="4">
        <v>323</v>
      </c>
      <c r="AM47" s="4">
        <v>240</v>
      </c>
      <c r="AN47" s="4">
        <v>522</v>
      </c>
      <c r="AO47" s="4">
        <v>721.1</v>
      </c>
      <c r="AP47" s="4">
        <v>484.7</v>
      </c>
      <c r="AQ47" s="4">
        <v>1243</v>
      </c>
      <c r="AR47" s="4">
        <v>400</v>
      </c>
      <c r="AS47" s="4">
        <v>213</v>
      </c>
      <c r="AT47" s="4">
        <v>362</v>
      </c>
      <c r="AU47" s="4">
        <v>0</v>
      </c>
      <c r="AV47" s="4">
        <v>109</v>
      </c>
      <c r="AW47" s="4">
        <v>379.5</v>
      </c>
      <c r="AX47" s="4">
        <v>398.8</v>
      </c>
      <c r="AY47" s="4">
        <v>428.6</v>
      </c>
      <c r="AZ47" s="4">
        <v>415</v>
      </c>
      <c r="BA47" s="4">
        <v>329</v>
      </c>
      <c r="BB47" s="4">
        <v>887</v>
      </c>
      <c r="BC47" s="4">
        <v>1089</v>
      </c>
      <c r="BD47" s="4">
        <v>577.1</v>
      </c>
      <c r="BE47" s="4">
        <v>159</v>
      </c>
      <c r="BF47" s="4">
        <v>361</v>
      </c>
      <c r="BG47" s="4">
        <v>614</v>
      </c>
      <c r="BH47" s="4">
        <v>119</v>
      </c>
      <c r="BI47" s="4">
        <v>393.6</v>
      </c>
    </row>
    <row r="48" spans="1:61" ht="15">
      <c r="A48" s="3" t="s">
        <v>25</v>
      </c>
      <c r="B48" s="4">
        <v>459</v>
      </c>
      <c r="C48" s="4">
        <v>303</v>
      </c>
      <c r="D48" s="4">
        <v>393</v>
      </c>
      <c r="E48" s="4">
        <f>886-56.9</f>
        <v>829.1</v>
      </c>
      <c r="F48" s="4">
        <f>959-(100+56.2)</f>
        <v>802.8</v>
      </c>
      <c r="G48" s="4">
        <v>782</v>
      </c>
      <c r="H48" s="4">
        <v>453</v>
      </c>
      <c r="I48" s="4">
        <f>533-(5.1+32.5)</f>
        <v>495.4</v>
      </c>
      <c r="J48" s="4">
        <v>364</v>
      </c>
      <c r="K48" s="4">
        <f>539-(5.1+32.5)</f>
        <v>501.4</v>
      </c>
      <c r="L48" s="4">
        <v>497</v>
      </c>
      <c r="M48" s="4">
        <v>463</v>
      </c>
      <c r="N48" s="4">
        <v>1033</v>
      </c>
      <c r="O48" s="4">
        <f>539-(5.1+32.5)</f>
        <v>501.4</v>
      </c>
      <c r="P48" s="4">
        <v>1065</v>
      </c>
      <c r="Q48" s="4">
        <f>506-19.2</f>
        <v>486.8</v>
      </c>
      <c r="R48" s="4">
        <v>251</v>
      </c>
      <c r="S48" s="4">
        <v>307</v>
      </c>
      <c r="T48" s="4">
        <v>1068</v>
      </c>
      <c r="U48" s="4">
        <v>311</v>
      </c>
      <c r="V48" s="4">
        <v>3463</v>
      </c>
      <c r="W48" s="4">
        <v>370</v>
      </c>
      <c r="X48" s="4">
        <v>112</v>
      </c>
      <c r="Y48" s="4">
        <v>374</v>
      </c>
      <c r="Z48" s="4">
        <v>422</v>
      </c>
      <c r="AA48" s="4">
        <v>278</v>
      </c>
      <c r="AB48" s="4">
        <v>463</v>
      </c>
      <c r="AC48" s="4">
        <v>426</v>
      </c>
      <c r="AD48" s="4">
        <f>1642-194</f>
        <v>1448</v>
      </c>
      <c r="AE48" s="4">
        <v>812</v>
      </c>
      <c r="AF48" s="4">
        <f>540-56.9</f>
        <v>483.1</v>
      </c>
      <c r="AG48" s="4">
        <v>348</v>
      </c>
      <c r="AH48" s="4">
        <f>690-56.9</f>
        <v>633.1</v>
      </c>
      <c r="AI48" s="4">
        <f>650-56.9</f>
        <v>593.1</v>
      </c>
      <c r="AJ48" s="4">
        <v>233</v>
      </c>
      <c r="AK48" s="4">
        <v>395</v>
      </c>
      <c r="AL48" s="4">
        <v>431</v>
      </c>
      <c r="AM48" s="4">
        <v>173</v>
      </c>
      <c r="AN48" s="4">
        <v>629</v>
      </c>
      <c r="AO48" s="4">
        <f>886-56.9</f>
        <v>829.1</v>
      </c>
      <c r="AP48" s="4">
        <f>630-(18.1+19.2)</f>
        <v>592.7</v>
      </c>
      <c r="AQ48" s="4">
        <f>1545-194</f>
        <v>1351</v>
      </c>
      <c r="AR48" s="4">
        <v>447</v>
      </c>
      <c r="AS48" s="4">
        <v>103</v>
      </c>
      <c r="AT48" s="4">
        <v>470</v>
      </c>
      <c r="AU48" s="4">
        <v>109</v>
      </c>
      <c r="AV48" s="4">
        <v>0</v>
      </c>
      <c r="AW48" s="4">
        <f>520-32.5</f>
        <v>487.5</v>
      </c>
      <c r="AX48" s="4">
        <f>526-19.2</f>
        <v>506.8</v>
      </c>
      <c r="AY48" s="4">
        <f>583-46.4</f>
        <v>536.6</v>
      </c>
      <c r="AZ48" s="4">
        <v>523</v>
      </c>
      <c r="BA48" s="4">
        <v>437</v>
      </c>
      <c r="BB48" s="4">
        <v>994</v>
      </c>
      <c r="BC48" s="4">
        <v>1202</v>
      </c>
      <c r="BD48" s="4">
        <f>742-56.9</f>
        <v>685.1</v>
      </c>
      <c r="BE48" s="4">
        <v>101</v>
      </c>
      <c r="BF48" s="4">
        <v>469</v>
      </c>
      <c r="BG48" s="4">
        <v>722</v>
      </c>
      <c r="BH48" s="4">
        <v>61.6</v>
      </c>
      <c r="BI48" s="4">
        <f>550-46.4</f>
        <v>503.6</v>
      </c>
    </row>
    <row r="49" spans="1:61" ht="15">
      <c r="A49" s="3" t="s">
        <v>26</v>
      </c>
      <c r="B49" s="4">
        <f>80.3-32.5</f>
        <v>47.8</v>
      </c>
      <c r="C49" s="4">
        <f>516-32.5</f>
        <v>483.5</v>
      </c>
      <c r="D49" s="4">
        <f>129-32.5</f>
        <v>96.5</v>
      </c>
      <c r="E49" s="4">
        <f>416-5.1</f>
        <v>410.9</v>
      </c>
      <c r="F49" s="4">
        <f>1171-(100+56.2+32.5)</f>
        <v>982.3</v>
      </c>
      <c r="G49" s="4">
        <f>1009-32.5</f>
        <v>976.5</v>
      </c>
      <c r="H49" s="4">
        <f>85-32.5</f>
        <v>52.5</v>
      </c>
      <c r="I49" s="4">
        <f>32.7-5.1</f>
        <v>27.6</v>
      </c>
      <c r="J49" s="4">
        <f>161-32.5</f>
        <v>128.5</v>
      </c>
      <c r="K49" s="4">
        <f>38.6-5.1</f>
        <v>33.5</v>
      </c>
      <c r="L49" s="4">
        <f>901-32.5</f>
        <v>868.5</v>
      </c>
      <c r="M49" s="4">
        <f>795-32.5</f>
        <v>762.5</v>
      </c>
      <c r="N49" s="4">
        <f>1245-32.5</f>
        <v>1212.5</v>
      </c>
      <c r="O49" s="4">
        <f>38.6-5.1</f>
        <v>33.5</v>
      </c>
      <c r="P49" s="4">
        <f>1277-32.5</f>
        <v>1244.5</v>
      </c>
      <c r="Q49" s="4">
        <f>139-(19.2+32.5)</f>
        <v>87.3</v>
      </c>
      <c r="R49" s="4">
        <f>771-32.5</f>
        <v>738.5</v>
      </c>
      <c r="S49" s="4">
        <f>581-32.5</f>
        <v>548.5</v>
      </c>
      <c r="T49" s="4">
        <f>1281-32.5</f>
        <v>1248.5</v>
      </c>
      <c r="U49" s="4">
        <f>211-32.5</f>
        <v>178.5</v>
      </c>
      <c r="V49" s="4">
        <f>3676-32.5</f>
        <v>3643.5</v>
      </c>
      <c r="W49" s="4">
        <f>891-32.5</f>
        <v>858.5</v>
      </c>
      <c r="X49" s="4">
        <f>449-32.5</f>
        <v>416.5</v>
      </c>
      <c r="Y49" s="4">
        <f>688-32.5</f>
        <v>655.5</v>
      </c>
      <c r="Z49" s="4">
        <f>102-32.5</f>
        <v>69.5</v>
      </c>
      <c r="AA49" s="4">
        <f>382-32.5</f>
        <v>349.5</v>
      </c>
      <c r="AB49" s="4">
        <f>95.8-32.5</f>
        <v>63.3</v>
      </c>
      <c r="AC49" s="4">
        <f>107-32.5</f>
        <v>74.5</v>
      </c>
      <c r="AD49" s="4">
        <f>1854-(194+32.5)</f>
        <v>1627.5</v>
      </c>
      <c r="AE49" s="4">
        <v>991</v>
      </c>
      <c r="AF49" s="4">
        <f>73-5.1</f>
        <v>67.9</v>
      </c>
      <c r="AG49" s="4">
        <f>718-32.5</f>
        <v>685.5</v>
      </c>
      <c r="AH49" s="4">
        <f>220-5.1</f>
        <v>214.9</v>
      </c>
      <c r="AI49" s="4">
        <f>180-5.1</f>
        <v>174.9</v>
      </c>
      <c r="AJ49" s="4">
        <f>456-32.5</f>
        <v>423.5</v>
      </c>
      <c r="AK49" s="4">
        <v>574</v>
      </c>
      <c r="AL49" s="4">
        <f>84.6-32.5</f>
        <v>52.099999999999994</v>
      </c>
      <c r="AM49" s="4">
        <f>478-32.5</f>
        <v>445.5</v>
      </c>
      <c r="AN49" s="4">
        <f>841-32.5</f>
        <v>808.5</v>
      </c>
      <c r="AO49" s="4">
        <f>416-5.1</f>
        <v>410.9</v>
      </c>
      <c r="AP49" s="4">
        <f>216-(30.2+5.1)</f>
        <v>180.7</v>
      </c>
      <c r="AQ49" s="4">
        <f>1757-(194+32.5)</f>
        <v>1530.5</v>
      </c>
      <c r="AR49" s="4">
        <f>720-32.5</f>
        <v>687.5</v>
      </c>
      <c r="AS49" s="4">
        <f>624-32.5</f>
        <v>591.5</v>
      </c>
      <c r="AT49" s="4">
        <f>74.3-32.5</f>
        <v>41.8</v>
      </c>
      <c r="AU49" s="4">
        <f>412-32.5</f>
        <v>379.5</v>
      </c>
      <c r="AV49" s="4">
        <f>520-32.5</f>
        <v>487.5</v>
      </c>
      <c r="AW49" s="4">
        <v>0</v>
      </c>
      <c r="AX49" s="4">
        <f>159-(19.2+32.5)</f>
        <v>107.3</v>
      </c>
      <c r="AY49" s="4">
        <f>84.2-10.2</f>
        <v>74</v>
      </c>
      <c r="AZ49" s="4">
        <f>157-32.5</f>
        <v>124.5</v>
      </c>
      <c r="BA49" s="4">
        <f>83.1-32.5</f>
        <v>50.599999999999994</v>
      </c>
      <c r="BB49" s="4">
        <v>1172</v>
      </c>
      <c r="BC49" s="4">
        <f>1415-32.5</f>
        <v>1382.5</v>
      </c>
      <c r="BD49" s="4">
        <f>273-5.1</f>
        <v>267.9</v>
      </c>
      <c r="BE49" s="4">
        <f>460-32.5</f>
        <v>427.5</v>
      </c>
      <c r="BF49" s="4">
        <f>84.6-32.5</f>
        <v>52.099999999999994</v>
      </c>
      <c r="BG49" s="4">
        <f>935-32.5</f>
        <v>902.5</v>
      </c>
      <c r="BH49" s="4">
        <f>498-32.5</f>
        <v>465.5</v>
      </c>
      <c r="BI49" s="4">
        <f>52.4-10.2</f>
        <v>42.2</v>
      </c>
    </row>
    <row r="50" spans="1:61" ht="15">
      <c r="A50" s="3" t="s">
        <v>27</v>
      </c>
      <c r="B50" s="4">
        <f>69.8-19.2</f>
        <v>50.599999999999994</v>
      </c>
      <c r="C50" s="4">
        <f>522-19.2</f>
        <v>502.8</v>
      </c>
      <c r="D50" s="4">
        <f>135-19.2</f>
        <v>115.8</v>
      </c>
      <c r="E50" s="4">
        <f>385-(30.2+18.1)</f>
        <v>336.7</v>
      </c>
      <c r="F50" s="4">
        <f>1178-(100+56.2+19.2)</f>
        <v>1002.6</v>
      </c>
      <c r="G50" s="4">
        <f>1015-19.2</f>
        <v>995.8</v>
      </c>
      <c r="H50" s="4">
        <f>75.9-19.2</f>
        <v>56.7</v>
      </c>
      <c r="I50" s="4">
        <f>139-(19.2+56.9)</f>
        <v>62.900000000000006</v>
      </c>
      <c r="J50" s="4">
        <f>168-19.2</f>
        <v>148.8</v>
      </c>
      <c r="K50" s="4">
        <f>157-(19.2+56.9)</f>
        <v>80.9</v>
      </c>
      <c r="L50" s="4">
        <f>907-19.2</f>
        <v>887.8</v>
      </c>
      <c r="M50" s="4">
        <f>801-19.2</f>
        <v>781.8</v>
      </c>
      <c r="N50" s="4">
        <f>1252-19.2</f>
        <v>1232.8</v>
      </c>
      <c r="O50" s="4">
        <f>157-(19.2+56.9)</f>
        <v>80.9</v>
      </c>
      <c r="P50" s="4">
        <f>1284-19.2</f>
        <v>1264.8</v>
      </c>
      <c r="Q50" s="4">
        <v>22.7</v>
      </c>
      <c r="R50" s="4">
        <f>777-19.2</f>
        <v>757.8</v>
      </c>
      <c r="S50" s="4">
        <f>587-19.2</f>
        <v>567.8</v>
      </c>
      <c r="T50" s="4">
        <f>1287-19.2</f>
        <v>1267.8</v>
      </c>
      <c r="U50" s="4">
        <f>217-19.2</f>
        <v>197.8</v>
      </c>
      <c r="V50" s="4">
        <f>3682-19.2</f>
        <v>3662.8</v>
      </c>
      <c r="W50" s="4">
        <f>897-19.2</f>
        <v>877.8</v>
      </c>
      <c r="X50" s="4">
        <f>456-19.2</f>
        <v>436.8</v>
      </c>
      <c r="Y50" s="4">
        <f>695-19.2</f>
        <v>675.8</v>
      </c>
      <c r="Z50" s="4">
        <f>118-19.2</f>
        <v>98.8</v>
      </c>
      <c r="AA50" s="4">
        <f>278-19.2</f>
        <v>258.8</v>
      </c>
      <c r="AB50" s="4">
        <f>65.5-19.2</f>
        <v>46.3</v>
      </c>
      <c r="AC50" s="4">
        <f>109-19.2</f>
        <v>89.8</v>
      </c>
      <c r="AD50" s="4">
        <f>1861-(194+19.2)</f>
        <v>1647.8</v>
      </c>
      <c r="AE50" s="4">
        <v>1011</v>
      </c>
      <c r="AF50" s="4">
        <f>106-(19.2+56.9)</f>
        <v>29.900000000000006</v>
      </c>
      <c r="AG50" s="4">
        <f>725-19.2</f>
        <v>705.8</v>
      </c>
      <c r="AH50" s="4">
        <f>181-(30.2+18.1)</f>
        <v>132.7</v>
      </c>
      <c r="AI50" s="4">
        <f>140-(30.2+18.1)</f>
        <v>91.7</v>
      </c>
      <c r="AJ50" s="4">
        <f>463-19.2</f>
        <v>443.8</v>
      </c>
      <c r="AK50" s="4">
        <v>595</v>
      </c>
      <c r="AL50" s="4">
        <f>121-19.2</f>
        <v>101.8</v>
      </c>
      <c r="AM50" s="4">
        <f>484-19.2</f>
        <v>464.8</v>
      </c>
      <c r="AN50" s="4">
        <f>848-19.2</f>
        <v>828.8</v>
      </c>
      <c r="AO50" s="4">
        <f>385-(30.2+18.1)</f>
        <v>336.7</v>
      </c>
      <c r="AP50" s="4">
        <f>103-18.1</f>
        <v>84.9</v>
      </c>
      <c r="AQ50" s="4">
        <f>1764-(194+19.2)</f>
        <v>1550.8</v>
      </c>
      <c r="AR50" s="4">
        <f>727-19.2</f>
        <v>707.8</v>
      </c>
      <c r="AS50" s="4">
        <f>630-19.2</f>
        <v>610.8</v>
      </c>
      <c r="AT50" s="4">
        <f>94.3-19.2</f>
        <v>75.1</v>
      </c>
      <c r="AU50" s="4">
        <f>418-19.2</f>
        <v>398.8</v>
      </c>
      <c r="AV50" s="4">
        <f>526-19.2</f>
        <v>506.8</v>
      </c>
      <c r="AW50" s="4">
        <f>159-(19.2+32.5)</f>
        <v>107.3</v>
      </c>
      <c r="AX50" s="4">
        <v>0</v>
      </c>
      <c r="AY50" s="4">
        <f>225-(19.2+56.9)</f>
        <v>148.9</v>
      </c>
      <c r="AZ50" s="4">
        <f>91.2-19.2</f>
        <v>72</v>
      </c>
      <c r="BA50" s="4">
        <f>101-19.2</f>
        <v>81.8</v>
      </c>
      <c r="BB50" s="4">
        <v>1192</v>
      </c>
      <c r="BC50" s="4">
        <f>1416-19.2</f>
        <v>1396.8</v>
      </c>
      <c r="BD50" s="4">
        <f>308-(19.2+56.9)</f>
        <v>231.9</v>
      </c>
      <c r="BE50" s="4">
        <f>467-19.2</f>
        <v>447.8</v>
      </c>
      <c r="BF50" s="4">
        <f>76.3-19.2</f>
        <v>57.099999999999994</v>
      </c>
      <c r="BG50" s="4">
        <f>941-19.2</f>
        <v>921.8</v>
      </c>
      <c r="BH50" s="4">
        <f>504-19.2</f>
        <v>484.8</v>
      </c>
      <c r="BI50" s="4">
        <f>190-(19.2+56.9)</f>
        <v>113.9</v>
      </c>
    </row>
    <row r="51" spans="1:61" ht="15">
      <c r="A51" s="3" t="s">
        <v>28</v>
      </c>
      <c r="B51" s="4">
        <f>142-46.4</f>
        <v>95.6</v>
      </c>
      <c r="C51" s="4">
        <f>579-46.4</f>
        <v>532.6</v>
      </c>
      <c r="D51" s="4">
        <f>192-46.4</f>
        <v>145.6</v>
      </c>
      <c r="E51" s="4">
        <v>468</v>
      </c>
      <c r="F51" s="4">
        <f>1233-(100+56.2+46.4)</f>
        <v>1030.4</v>
      </c>
      <c r="G51" s="4">
        <f>1072-46.4</f>
        <v>1025.6</v>
      </c>
      <c r="H51" s="4">
        <f>148-46.4</f>
        <v>101.6</v>
      </c>
      <c r="I51" s="4">
        <f>88.1</f>
        <v>88.1</v>
      </c>
      <c r="J51" s="4">
        <f>224-46.4</f>
        <v>177.6</v>
      </c>
      <c r="K51" s="4">
        <v>70.4</v>
      </c>
      <c r="L51" s="4">
        <f>964-46.4</f>
        <v>917.6</v>
      </c>
      <c r="M51" s="4">
        <f>858-46.4</f>
        <v>811.6</v>
      </c>
      <c r="N51" s="4">
        <f>1308-46.4</f>
        <v>1261.6</v>
      </c>
      <c r="O51" s="4">
        <v>70.4</v>
      </c>
      <c r="P51" s="4">
        <f>1340-46.4</f>
        <v>1293.6</v>
      </c>
      <c r="Q51" s="4">
        <f>205-(19.2+56.9)</f>
        <v>128.9</v>
      </c>
      <c r="R51" s="4">
        <f>834-46.4</f>
        <v>787.6</v>
      </c>
      <c r="S51" s="4">
        <f>644-46.4</f>
        <v>597.6</v>
      </c>
      <c r="T51" s="4">
        <f>1344-46.4</f>
        <v>1297.6</v>
      </c>
      <c r="U51" s="4">
        <f>274-46.4</f>
        <v>227.6</v>
      </c>
      <c r="V51" s="4">
        <f>3739-46.4</f>
        <v>3692.6</v>
      </c>
      <c r="W51" s="4">
        <f>954-46.4</f>
        <v>907.6</v>
      </c>
      <c r="X51" s="4">
        <f>512-46.4</f>
        <v>465.6</v>
      </c>
      <c r="Y51" s="4">
        <f>752-46.4</f>
        <v>705.6</v>
      </c>
      <c r="Z51" s="4">
        <f>165-46.4</f>
        <v>118.6</v>
      </c>
      <c r="AA51" s="4">
        <f>411-56.9</f>
        <v>354.1</v>
      </c>
      <c r="AB51" s="4">
        <f>159-46.4</f>
        <v>112.6</v>
      </c>
      <c r="AC51" s="4">
        <f>170-46.4</f>
        <v>123.6</v>
      </c>
      <c r="AD51" s="4">
        <f>1313-(194+510)</f>
        <v>609</v>
      </c>
      <c r="AE51" s="4">
        <v>1074</v>
      </c>
      <c r="AF51" s="4">
        <v>125</v>
      </c>
      <c r="AG51" s="4">
        <f>782-46.4</f>
        <v>735.6</v>
      </c>
      <c r="AH51" s="4">
        <v>272</v>
      </c>
      <c r="AI51" s="4">
        <v>232</v>
      </c>
      <c r="AJ51" s="4">
        <f>519-46.4</f>
        <v>472.6</v>
      </c>
      <c r="AK51" s="4">
        <v>657</v>
      </c>
      <c r="AL51" s="4">
        <f>148-46.4</f>
        <v>101.6</v>
      </c>
      <c r="AM51" s="4">
        <f>541-46.4</f>
        <v>494.6</v>
      </c>
      <c r="AN51" s="4">
        <f>904-46.4</f>
        <v>857.6</v>
      </c>
      <c r="AO51" s="4">
        <v>468</v>
      </c>
      <c r="AP51" s="4">
        <f>268-30.2</f>
        <v>237.8</v>
      </c>
      <c r="AQ51" s="4">
        <f>1215-(194+510)</f>
        <v>511</v>
      </c>
      <c r="AR51" s="4">
        <f>783-46.4</f>
        <v>736.6</v>
      </c>
      <c r="AS51" s="4">
        <f>687-46.4</f>
        <v>640.6</v>
      </c>
      <c r="AT51" s="4">
        <f>137-46.4</f>
        <v>90.6</v>
      </c>
      <c r="AU51" s="4">
        <f>475-46.4</f>
        <v>428.6</v>
      </c>
      <c r="AV51" s="4">
        <f>583-46.4</f>
        <v>536.6</v>
      </c>
      <c r="AW51" s="4">
        <f>84.2-10.2</f>
        <v>74</v>
      </c>
      <c r="AX51" s="4">
        <f>225-(19.2+56.9)</f>
        <v>148.9</v>
      </c>
      <c r="AY51" s="4">
        <v>0</v>
      </c>
      <c r="AZ51" s="4">
        <f>224-56.9</f>
        <v>167.1</v>
      </c>
      <c r="BA51" s="4">
        <f>146-46.4</f>
        <v>99.6</v>
      </c>
      <c r="BB51" s="4">
        <v>1255</v>
      </c>
      <c r="BC51" s="4">
        <f>1478-46.4</f>
        <v>1431.6</v>
      </c>
      <c r="BD51" s="4">
        <v>325</v>
      </c>
      <c r="BE51" s="4">
        <f>523-46.4</f>
        <v>476.6</v>
      </c>
      <c r="BF51" s="4">
        <f>167-46.4</f>
        <v>120.6</v>
      </c>
      <c r="BG51" s="4">
        <f>998-46.4</f>
        <v>951.6</v>
      </c>
      <c r="BH51" s="4">
        <f>561-46.4</f>
        <v>514.6</v>
      </c>
      <c r="BI51" s="4">
        <v>41.9</v>
      </c>
    </row>
    <row r="52" spans="1:61" ht="15">
      <c r="A52" s="3" t="s">
        <v>29</v>
      </c>
      <c r="B52" s="4">
        <v>67</v>
      </c>
      <c r="C52" s="4">
        <v>365</v>
      </c>
      <c r="D52" s="4">
        <v>132</v>
      </c>
      <c r="E52" s="4">
        <f>450-56.9</f>
        <v>393.1</v>
      </c>
      <c r="F52" s="4">
        <f>1021-(100+56.2)</f>
        <v>864.8</v>
      </c>
      <c r="G52" s="4">
        <v>905</v>
      </c>
      <c r="H52" s="4">
        <v>72.8</v>
      </c>
      <c r="I52" s="4">
        <f>138-56.9</f>
        <v>81.1</v>
      </c>
      <c r="J52" s="4">
        <v>165</v>
      </c>
      <c r="K52" s="4">
        <f>157-56.9</f>
        <v>100.1</v>
      </c>
      <c r="L52" s="4">
        <v>904</v>
      </c>
      <c r="M52" s="4">
        <v>798</v>
      </c>
      <c r="N52" s="4">
        <v>1095</v>
      </c>
      <c r="O52" s="4">
        <f>157-56.9</f>
        <v>100.1</v>
      </c>
      <c r="P52" s="4">
        <v>1126</v>
      </c>
      <c r="Q52" s="4">
        <f>71.2-19.2</f>
        <v>52</v>
      </c>
      <c r="R52" s="4">
        <v>774</v>
      </c>
      <c r="S52" s="4">
        <v>584</v>
      </c>
      <c r="T52" s="4">
        <v>1130</v>
      </c>
      <c r="U52" s="4">
        <v>214</v>
      </c>
      <c r="V52" s="4">
        <v>3525</v>
      </c>
      <c r="W52" s="4">
        <v>894</v>
      </c>
      <c r="X52" s="4">
        <v>453</v>
      </c>
      <c r="Y52" s="4">
        <v>692</v>
      </c>
      <c r="Z52" s="4">
        <v>115</v>
      </c>
      <c r="AA52" s="4">
        <v>188</v>
      </c>
      <c r="AB52" s="4">
        <v>62.4</v>
      </c>
      <c r="AC52" s="4">
        <v>106</v>
      </c>
      <c r="AD52" s="4">
        <f>1704-194</f>
        <v>1510</v>
      </c>
      <c r="AE52" s="4">
        <v>873</v>
      </c>
      <c r="AF52" s="4">
        <f>105-56.9</f>
        <v>48.1</v>
      </c>
      <c r="AG52" s="4">
        <v>721</v>
      </c>
      <c r="AH52" s="4">
        <f>255-56.9</f>
        <v>198.1</v>
      </c>
      <c r="AI52" s="4">
        <f>214-56.9</f>
        <v>157.1</v>
      </c>
      <c r="AJ52" s="4">
        <v>459</v>
      </c>
      <c r="AK52" s="4">
        <v>457</v>
      </c>
      <c r="AL52" s="4">
        <v>112</v>
      </c>
      <c r="AM52" s="4">
        <v>481</v>
      </c>
      <c r="AN52" s="4">
        <v>690</v>
      </c>
      <c r="AO52" s="4">
        <f>450-56.9</f>
        <v>393.1</v>
      </c>
      <c r="AP52" s="4">
        <f>194-(18.1+19.2)</f>
        <v>156.7</v>
      </c>
      <c r="AQ52" s="4">
        <f>1607-194</f>
        <v>1413</v>
      </c>
      <c r="AR52" s="4">
        <v>574</v>
      </c>
      <c r="AS52" s="4">
        <v>627</v>
      </c>
      <c r="AT52" s="4">
        <v>77.8</v>
      </c>
      <c r="AU52" s="4">
        <v>415</v>
      </c>
      <c r="AV52" s="4">
        <v>523</v>
      </c>
      <c r="AW52" s="4">
        <f>157-32.5</f>
        <v>124.5</v>
      </c>
      <c r="AX52" s="4">
        <f>91.2-19.2</f>
        <v>72</v>
      </c>
      <c r="AY52" s="4">
        <f>224-56.9</f>
        <v>167.1</v>
      </c>
      <c r="AZ52" s="4">
        <v>0</v>
      </c>
      <c r="BA52" s="4">
        <v>97.4</v>
      </c>
      <c r="BB52" s="4">
        <v>1055</v>
      </c>
      <c r="BC52" s="4">
        <v>1264</v>
      </c>
      <c r="BD52" s="4">
        <f>307-56.9</f>
        <v>250.1</v>
      </c>
      <c r="BE52" s="4">
        <v>465</v>
      </c>
      <c r="BF52" s="4">
        <v>75.2</v>
      </c>
      <c r="BG52" s="4">
        <v>784</v>
      </c>
      <c r="BH52" s="4">
        <v>501</v>
      </c>
      <c r="BI52" s="4">
        <f>186-46.4</f>
        <v>139.6</v>
      </c>
    </row>
    <row r="53" spans="1:61" ht="15">
      <c r="A53" s="3" t="s">
        <v>46</v>
      </c>
      <c r="B53" s="4">
        <v>34</v>
      </c>
      <c r="C53" s="4">
        <v>432</v>
      </c>
      <c r="D53" s="4">
        <v>45</v>
      </c>
      <c r="E53" s="4">
        <f>460-56.9</f>
        <v>403.1</v>
      </c>
      <c r="F53" s="4">
        <f>1088-(100+56.2)</f>
        <v>931.8</v>
      </c>
      <c r="G53" s="4">
        <v>971</v>
      </c>
      <c r="H53" s="4">
        <v>26</v>
      </c>
      <c r="I53" s="4">
        <f>95.6-(5.1+32.5)</f>
        <v>57.99999999999999</v>
      </c>
      <c r="J53" s="4">
        <v>78</v>
      </c>
      <c r="K53" s="4">
        <f>102-(32.5+5.1)</f>
        <v>64.4</v>
      </c>
      <c r="L53" s="4">
        <v>818</v>
      </c>
      <c r="M53" s="4">
        <v>711</v>
      </c>
      <c r="N53" s="4">
        <v>1162</v>
      </c>
      <c r="O53" s="4">
        <f>102-(32.5+5.1)</f>
        <v>64.4</v>
      </c>
      <c r="P53" s="4">
        <v>1194</v>
      </c>
      <c r="Q53" s="4">
        <f>81-19.2</f>
        <v>61.8</v>
      </c>
      <c r="R53" s="4">
        <v>688</v>
      </c>
      <c r="S53" s="4">
        <v>498</v>
      </c>
      <c r="T53" s="4">
        <v>1197</v>
      </c>
      <c r="U53" s="4">
        <v>128</v>
      </c>
      <c r="V53" s="4">
        <v>3593</v>
      </c>
      <c r="W53" s="4">
        <v>807</v>
      </c>
      <c r="X53" s="4">
        <v>366</v>
      </c>
      <c r="Y53" s="4">
        <v>605</v>
      </c>
      <c r="Z53" s="4">
        <v>29</v>
      </c>
      <c r="AA53" s="4">
        <v>299</v>
      </c>
      <c r="AB53" s="4">
        <v>38</v>
      </c>
      <c r="AC53" s="4">
        <v>22.9</v>
      </c>
      <c r="AD53" s="4">
        <f>1771-194</f>
        <v>1577</v>
      </c>
      <c r="AE53" s="4">
        <v>940</v>
      </c>
      <c r="AF53" s="4">
        <f>115-56.9</f>
        <v>58.1</v>
      </c>
      <c r="AG53" s="4">
        <v>634</v>
      </c>
      <c r="AH53" s="4">
        <f>272-67.1</f>
        <v>204.9</v>
      </c>
      <c r="AI53" s="4">
        <f>224-56.9</f>
        <v>167.1</v>
      </c>
      <c r="AJ53" s="4">
        <v>373</v>
      </c>
      <c r="AK53" s="4">
        <v>524</v>
      </c>
      <c r="AL53" s="4">
        <v>21</v>
      </c>
      <c r="AM53" s="4">
        <v>395</v>
      </c>
      <c r="AN53" s="4">
        <v>758</v>
      </c>
      <c r="AO53" s="4">
        <f>460-56.9</f>
        <v>403.1</v>
      </c>
      <c r="AP53" s="4">
        <f>204-(18.1+19.2)</f>
        <v>166.7</v>
      </c>
      <c r="AQ53" s="4">
        <f>1674-194</f>
        <v>1480</v>
      </c>
      <c r="AR53" s="4">
        <v>637</v>
      </c>
      <c r="AS53" s="4">
        <v>540</v>
      </c>
      <c r="AT53" s="4">
        <v>29</v>
      </c>
      <c r="AU53" s="4">
        <v>329</v>
      </c>
      <c r="AV53" s="4">
        <v>437</v>
      </c>
      <c r="AW53" s="4">
        <f>83.1-32.5</f>
        <v>50.599999999999994</v>
      </c>
      <c r="AX53" s="4">
        <f>101-19.2</f>
        <v>81.8</v>
      </c>
      <c r="AY53" s="4">
        <f>146-46.4</f>
        <v>99.6</v>
      </c>
      <c r="AZ53" s="4">
        <v>97.4</v>
      </c>
      <c r="BA53" s="4">
        <v>0</v>
      </c>
      <c r="BB53" s="4">
        <v>1123</v>
      </c>
      <c r="BC53" s="4">
        <v>1326</v>
      </c>
      <c r="BD53" s="4">
        <f>324-56.9</f>
        <v>267.1</v>
      </c>
      <c r="BE53" s="4">
        <v>377</v>
      </c>
      <c r="BF53" s="4">
        <v>38</v>
      </c>
      <c r="BG53" s="4">
        <v>851</v>
      </c>
      <c r="BH53" s="4">
        <v>414</v>
      </c>
      <c r="BI53" s="4">
        <f>112-46.4</f>
        <v>65.6</v>
      </c>
    </row>
    <row r="54" spans="1:61" ht="15">
      <c r="A54" s="3" t="s">
        <v>53</v>
      </c>
      <c r="B54" s="4">
        <v>1147</v>
      </c>
      <c r="C54" s="4">
        <v>691</v>
      </c>
      <c r="D54" s="4">
        <v>1079</v>
      </c>
      <c r="E54" s="4">
        <v>1505</v>
      </c>
      <c r="F54" s="4">
        <v>352</v>
      </c>
      <c r="G54" s="4">
        <v>1056</v>
      </c>
      <c r="H54" s="4">
        <v>1135</v>
      </c>
      <c r="I54" s="4">
        <v>1186</v>
      </c>
      <c r="J54" s="4">
        <v>1047</v>
      </c>
      <c r="K54" s="4">
        <v>1190</v>
      </c>
      <c r="L54" s="4">
        <v>1246</v>
      </c>
      <c r="M54" s="4">
        <v>1351</v>
      </c>
      <c r="N54" s="4">
        <v>773</v>
      </c>
      <c r="O54" s="4">
        <v>1190</v>
      </c>
      <c r="P54" s="4">
        <v>807</v>
      </c>
      <c r="Q54" s="4">
        <v>1172</v>
      </c>
      <c r="R54" s="4">
        <v>1050</v>
      </c>
      <c r="S54" s="4">
        <v>1247</v>
      </c>
      <c r="T54" s="4">
        <v>75</v>
      </c>
      <c r="U54" s="4">
        <v>996</v>
      </c>
      <c r="V54" s="4">
        <v>2470</v>
      </c>
      <c r="W54" s="4">
        <v>1119</v>
      </c>
      <c r="X54" s="4">
        <v>1044</v>
      </c>
      <c r="Y54" s="4">
        <v>1353</v>
      </c>
      <c r="Z54" s="4">
        <v>1109</v>
      </c>
      <c r="AA54" s="4">
        <v>868</v>
      </c>
      <c r="AB54" s="4">
        <v>1148</v>
      </c>
      <c r="AC54" s="4">
        <v>1097</v>
      </c>
      <c r="AD54" s="4">
        <v>455</v>
      </c>
      <c r="AE54" s="4">
        <v>553</v>
      </c>
      <c r="AF54" s="4">
        <v>1167</v>
      </c>
      <c r="AG54" s="4">
        <v>1342</v>
      </c>
      <c r="AH54" s="4">
        <v>1319</v>
      </c>
      <c r="AI54" s="4">
        <v>1282</v>
      </c>
      <c r="AJ54" s="4">
        <v>1121</v>
      </c>
      <c r="AK54" s="4">
        <v>605</v>
      </c>
      <c r="AL54" s="4">
        <v>1118</v>
      </c>
      <c r="AM54" s="4">
        <v>1070</v>
      </c>
      <c r="AN54" s="4"/>
      <c r="AO54" s="4">
        <v>1515</v>
      </c>
      <c r="AP54" s="4">
        <v>1296</v>
      </c>
      <c r="AQ54" s="4">
        <v>358</v>
      </c>
      <c r="AR54" s="4">
        <v>486</v>
      </c>
      <c r="AS54" s="4">
        <v>1097</v>
      </c>
      <c r="AT54" s="4">
        <v>1155</v>
      </c>
      <c r="AU54" s="4"/>
      <c r="AV54" s="4">
        <v>994</v>
      </c>
      <c r="AW54" s="4">
        <v>1172</v>
      </c>
      <c r="AX54" s="4">
        <v>1192</v>
      </c>
      <c r="AY54" s="4">
        <v>1255</v>
      </c>
      <c r="AZ54" s="4">
        <v>1055</v>
      </c>
      <c r="BA54" s="4">
        <v>1123</v>
      </c>
      <c r="BB54" s="4">
        <v>0</v>
      </c>
      <c r="BC54" s="4">
        <v>204</v>
      </c>
      <c r="BD54" s="4">
        <v>1372</v>
      </c>
      <c r="BE54" s="4">
        <v>1041</v>
      </c>
      <c r="BF54" s="4">
        <v>1154</v>
      </c>
      <c r="BG54" s="4">
        <v>271</v>
      </c>
      <c r="BH54" s="4">
        <v>1002</v>
      </c>
      <c r="BI54" s="4">
        <v>1190</v>
      </c>
    </row>
    <row r="55" spans="1:61" ht="15">
      <c r="A55" s="3" t="s">
        <v>45</v>
      </c>
      <c r="B55" s="4">
        <v>1349</v>
      </c>
      <c r="C55" s="4">
        <v>900</v>
      </c>
      <c r="D55" s="4">
        <v>1283</v>
      </c>
      <c r="E55" s="4">
        <f>702-510</f>
        <v>192</v>
      </c>
      <c r="F55" s="4">
        <f>474-325</f>
        <v>149</v>
      </c>
      <c r="G55" s="4">
        <v>1259</v>
      </c>
      <c r="H55" s="4">
        <v>1343</v>
      </c>
      <c r="I55" s="4">
        <f>1422-(5.1+32.5)</f>
        <v>1384.4</v>
      </c>
      <c r="J55" s="4">
        <v>1253</v>
      </c>
      <c r="K55" s="4">
        <f>1428-(32.5+5.1)</f>
        <v>1390.4</v>
      </c>
      <c r="L55" s="4">
        <v>1449</v>
      </c>
      <c r="M55" s="4">
        <v>1555</v>
      </c>
      <c r="N55" s="4">
        <v>978</v>
      </c>
      <c r="O55" s="4">
        <f>1428-(32.5+5.1)</f>
        <v>1390.4</v>
      </c>
      <c r="P55" s="4">
        <v>1010</v>
      </c>
      <c r="Q55" s="4">
        <f>1396-19.2</f>
        <v>1376.8</v>
      </c>
      <c r="R55" s="4">
        <v>1254</v>
      </c>
      <c r="S55" s="4">
        <v>1456</v>
      </c>
      <c r="T55" s="4">
        <v>144</v>
      </c>
      <c r="U55" s="4">
        <v>1204</v>
      </c>
      <c r="V55" s="4">
        <v>2453</v>
      </c>
      <c r="W55" s="4">
        <v>1322</v>
      </c>
      <c r="X55" s="4">
        <v>1248</v>
      </c>
      <c r="Y55" s="4">
        <v>1560</v>
      </c>
      <c r="Z55" s="4">
        <v>1312</v>
      </c>
      <c r="AA55" s="4">
        <v>1077</v>
      </c>
      <c r="AB55" s="4">
        <v>1352</v>
      </c>
      <c r="AC55" s="4">
        <v>1305</v>
      </c>
      <c r="AD55" s="4">
        <f>446-194</f>
        <v>252</v>
      </c>
      <c r="AE55" s="4">
        <v>757</v>
      </c>
      <c r="AF55" s="4">
        <f>1430-56.9</f>
        <v>1373.1</v>
      </c>
      <c r="AG55" s="4">
        <v>1550</v>
      </c>
      <c r="AH55" s="4">
        <f>896-510</f>
        <v>386</v>
      </c>
      <c r="AI55" s="4">
        <f>1539-56.9</f>
        <v>1482.1</v>
      </c>
      <c r="AJ55" s="4">
        <v>1329</v>
      </c>
      <c r="AK55" s="4">
        <v>808</v>
      </c>
      <c r="AL55" s="4">
        <v>1320</v>
      </c>
      <c r="AM55" s="4">
        <v>1278</v>
      </c>
      <c r="AN55" s="4">
        <v>574</v>
      </c>
      <c r="AO55" s="4">
        <f>702-510</f>
        <v>192</v>
      </c>
      <c r="AP55" s="4">
        <f>1519-(18.1+19.2)</f>
        <v>1481.7</v>
      </c>
      <c r="AQ55" s="4">
        <f>349-194</f>
        <v>155</v>
      </c>
      <c r="AR55" s="4">
        <v>689</v>
      </c>
      <c r="AS55" s="4">
        <v>1305</v>
      </c>
      <c r="AT55" s="4">
        <v>1359</v>
      </c>
      <c r="AU55" s="4">
        <v>1089</v>
      </c>
      <c r="AV55" s="4">
        <v>1202</v>
      </c>
      <c r="AW55" s="4">
        <f>1415-32.5</f>
        <v>1382.5</v>
      </c>
      <c r="AX55" s="4">
        <f>1416-19.2</f>
        <v>1396.8</v>
      </c>
      <c r="AY55" s="4">
        <f>1478-46.4</f>
        <v>1431.6</v>
      </c>
      <c r="AZ55" s="4">
        <v>1264</v>
      </c>
      <c r="BA55" s="4">
        <v>1326</v>
      </c>
      <c r="BB55" s="4">
        <v>204</v>
      </c>
      <c r="BC55" s="4">
        <v>0</v>
      </c>
      <c r="BD55" s="4">
        <f>1637-56.9</f>
        <v>1580.1</v>
      </c>
      <c r="BE55" s="4">
        <v>1245</v>
      </c>
      <c r="BF55" s="4">
        <v>1357</v>
      </c>
      <c r="BG55" s="4">
        <v>475</v>
      </c>
      <c r="BH55" s="4">
        <v>1207</v>
      </c>
      <c r="BI55" s="4">
        <f>1439-46.4</f>
        <v>1392.6</v>
      </c>
    </row>
    <row r="56" spans="1:61" ht="15">
      <c r="A56" s="3" t="s">
        <v>30</v>
      </c>
      <c r="B56" s="4">
        <f>286-56.9</f>
        <v>229.1</v>
      </c>
      <c r="C56" s="4">
        <f>670-56.9</f>
        <v>613.1</v>
      </c>
      <c r="D56" s="4">
        <f>351-56.9</f>
        <v>294.1</v>
      </c>
      <c r="E56" s="4">
        <v>465</v>
      </c>
      <c r="F56" s="4">
        <f>913-(56.2+100+107+143)</f>
        <v>506.8</v>
      </c>
      <c r="G56" s="4">
        <f>757-(143+107)</f>
        <v>507</v>
      </c>
      <c r="H56" s="4">
        <f>292-56.9</f>
        <v>235.1</v>
      </c>
      <c r="I56" s="4">
        <v>239</v>
      </c>
      <c r="J56" s="4">
        <f>383-56.9</f>
        <v>326.1</v>
      </c>
      <c r="K56" s="4">
        <v>258</v>
      </c>
      <c r="L56" s="4">
        <f>1123-56.9</f>
        <v>1066.1</v>
      </c>
      <c r="M56" s="4">
        <f>1017-56.9</f>
        <v>960.1</v>
      </c>
      <c r="N56" s="4">
        <f>1472-56.9</f>
        <v>1415.1</v>
      </c>
      <c r="O56" s="4">
        <v>258</v>
      </c>
      <c r="P56" s="4">
        <f>1499-56.9</f>
        <v>1442.1</v>
      </c>
      <c r="Q56" s="4">
        <f>288-(19.2+56.9)</f>
        <v>211.9</v>
      </c>
      <c r="R56" s="4">
        <f>993-56.9</f>
        <v>936.1</v>
      </c>
      <c r="S56" s="4">
        <f>803-56.9</f>
        <v>746.1</v>
      </c>
      <c r="T56" s="4">
        <f>1503-56.9</f>
        <v>1446.1</v>
      </c>
      <c r="U56" s="4">
        <f>433-56.9</f>
        <v>376.1</v>
      </c>
      <c r="V56" s="4">
        <f>3898-56.9</f>
        <v>3841.1</v>
      </c>
      <c r="W56" s="4">
        <f>1113-56.9</f>
        <v>1056.1</v>
      </c>
      <c r="X56" s="4">
        <f>671-56.9</f>
        <v>614.1</v>
      </c>
      <c r="Y56" s="4">
        <f>910-56.9</f>
        <v>853.1</v>
      </c>
      <c r="Z56" s="4">
        <f>343-56.9</f>
        <v>286.1</v>
      </c>
      <c r="AA56" s="4">
        <f>493-56.9</f>
        <v>436.1</v>
      </c>
      <c r="AB56" s="4">
        <f>281-56.9</f>
        <v>224.1</v>
      </c>
      <c r="AC56" s="4">
        <f>325-56.9</f>
        <v>268.1</v>
      </c>
      <c r="AD56" s="4">
        <f>1310-(510+194)</f>
        <v>606</v>
      </c>
      <c r="AE56" s="4">
        <v>1190</v>
      </c>
      <c r="AF56" s="4">
        <v>204</v>
      </c>
      <c r="AG56" s="4">
        <f>940-56.9</f>
        <v>883.1</v>
      </c>
      <c r="AH56" s="4">
        <v>270</v>
      </c>
      <c r="AI56" s="4">
        <v>229</v>
      </c>
      <c r="AJ56" s="4">
        <f>678-56.9</f>
        <v>621.1</v>
      </c>
      <c r="AK56" s="4">
        <v>773</v>
      </c>
      <c r="AL56" s="4">
        <f>326-56.9</f>
        <v>269.1</v>
      </c>
      <c r="AM56" s="4">
        <f>700-56.9</f>
        <v>643.1</v>
      </c>
      <c r="AN56" s="4">
        <f>995-56.9</f>
        <v>938.1</v>
      </c>
      <c r="AO56" s="4">
        <v>465</v>
      </c>
      <c r="AP56" s="4">
        <f>266-30.2</f>
        <v>235.8</v>
      </c>
      <c r="AQ56" s="4">
        <f>1213-(194+510)</f>
        <v>509</v>
      </c>
      <c r="AR56" s="4">
        <f>942-56.9</f>
        <v>885.1</v>
      </c>
      <c r="AS56" s="4">
        <f>846-56.9</f>
        <v>789.1</v>
      </c>
      <c r="AT56" s="4">
        <f>297-56.9</f>
        <v>240.1</v>
      </c>
      <c r="AU56" s="4">
        <f>634-56.9</f>
        <v>577.1</v>
      </c>
      <c r="AV56" s="4">
        <f>742-56.9</f>
        <v>685.1</v>
      </c>
      <c r="AW56" s="4">
        <f>273-5.1</f>
        <v>267.9</v>
      </c>
      <c r="AX56" s="4">
        <f>308-(19.2+56.9)</f>
        <v>231.9</v>
      </c>
      <c r="AY56" s="4">
        <v>325</v>
      </c>
      <c r="AZ56" s="4">
        <f>307-56.9</f>
        <v>250.1</v>
      </c>
      <c r="BA56" s="4">
        <f>324-56.9</f>
        <v>267.1</v>
      </c>
      <c r="BB56" s="4">
        <v>1372</v>
      </c>
      <c r="BC56" s="4">
        <f>1637-56.9</f>
        <v>1580.1</v>
      </c>
      <c r="BD56" s="4">
        <v>0</v>
      </c>
      <c r="BE56" s="4">
        <f>682-56.9</f>
        <v>625.1</v>
      </c>
      <c r="BF56" s="4">
        <f>292-56.9</f>
        <v>235.1</v>
      </c>
      <c r="BG56" s="4">
        <f>1089-56.9</f>
        <v>1032.1</v>
      </c>
      <c r="BH56" s="4">
        <f>720-56.9</f>
        <v>663.1</v>
      </c>
      <c r="BI56" s="4">
        <v>318</v>
      </c>
    </row>
    <row r="57" spans="1:61" ht="15">
      <c r="A57" s="3" t="s">
        <v>31</v>
      </c>
      <c r="B57" s="4">
        <v>400</v>
      </c>
      <c r="C57" s="4">
        <v>352</v>
      </c>
      <c r="D57" s="4">
        <v>333</v>
      </c>
      <c r="E57" s="4">
        <f>826-56.9</f>
        <v>769.1</v>
      </c>
      <c r="F57" s="4">
        <f>1007-(100+56.2)</f>
        <v>850.8</v>
      </c>
      <c r="G57" s="4">
        <v>892</v>
      </c>
      <c r="H57" s="4">
        <v>393</v>
      </c>
      <c r="I57" s="4">
        <f>473-(5.1+32.5)</f>
        <v>435.4</v>
      </c>
      <c r="J57" s="4">
        <v>303</v>
      </c>
      <c r="K57" s="4">
        <f>479-(32.5+5.1)</f>
        <v>441.4</v>
      </c>
      <c r="L57" s="4">
        <v>526</v>
      </c>
      <c r="M57" s="4">
        <v>420</v>
      </c>
      <c r="N57" s="4">
        <v>1081</v>
      </c>
      <c r="O57" s="4">
        <f>479-(32.5+5.1)</f>
        <v>441.4</v>
      </c>
      <c r="P57" s="4">
        <v>1113</v>
      </c>
      <c r="Q57" s="4">
        <f>447-19.2</f>
        <v>427.8</v>
      </c>
      <c r="R57" s="4">
        <v>335</v>
      </c>
      <c r="S57" s="4">
        <v>206</v>
      </c>
      <c r="T57" s="4">
        <v>1117</v>
      </c>
      <c r="U57" s="4">
        <v>251</v>
      </c>
      <c r="V57" s="4">
        <v>3512</v>
      </c>
      <c r="W57" s="4">
        <v>455</v>
      </c>
      <c r="X57" s="4">
        <v>13</v>
      </c>
      <c r="Y57" s="4">
        <v>314</v>
      </c>
      <c r="Z57" s="4">
        <v>362</v>
      </c>
      <c r="AA57" s="4">
        <v>302</v>
      </c>
      <c r="AB57" s="4">
        <v>402</v>
      </c>
      <c r="AC57" s="4">
        <v>367</v>
      </c>
      <c r="AD57" s="4">
        <f>1690-194</f>
        <v>1496</v>
      </c>
      <c r="AE57" s="4">
        <v>858</v>
      </c>
      <c r="AF57" s="4">
        <f>480-56.9</f>
        <v>423.1</v>
      </c>
      <c r="AG57" s="4">
        <v>344</v>
      </c>
      <c r="AH57" s="4">
        <f>630-56.9</f>
        <v>573.1</v>
      </c>
      <c r="AI57" s="4">
        <f>590-56.9</f>
        <v>533.1</v>
      </c>
      <c r="AJ57" s="4">
        <v>136</v>
      </c>
      <c r="AK57" s="4">
        <v>442</v>
      </c>
      <c r="AL57" s="4">
        <v>371</v>
      </c>
      <c r="AM57" s="4">
        <v>77</v>
      </c>
      <c r="AN57" s="4">
        <v>677</v>
      </c>
      <c r="AO57" s="4">
        <f>826-56.9</f>
        <v>769.1</v>
      </c>
      <c r="AP57" s="4">
        <f>570-(18.1+19.2)</f>
        <v>532.7</v>
      </c>
      <c r="AQ57" s="4">
        <f>1593-194</f>
        <v>1399</v>
      </c>
      <c r="AR57" s="4">
        <v>556</v>
      </c>
      <c r="AS57" s="4">
        <v>188</v>
      </c>
      <c r="AT57" s="4">
        <v>410</v>
      </c>
      <c r="AU57" s="4">
        <v>159</v>
      </c>
      <c r="AV57" s="4">
        <v>101</v>
      </c>
      <c r="AW57" s="4">
        <f>460-32.5</f>
        <v>427.5</v>
      </c>
      <c r="AX57" s="4">
        <f>467-19.2</f>
        <v>447.8</v>
      </c>
      <c r="AY57" s="4">
        <f>523-46.4</f>
        <v>476.6</v>
      </c>
      <c r="AZ57" s="4">
        <v>465</v>
      </c>
      <c r="BA57" s="4">
        <v>377</v>
      </c>
      <c r="BB57" s="4">
        <v>1041</v>
      </c>
      <c r="BC57" s="4">
        <v>1245</v>
      </c>
      <c r="BD57" s="4">
        <f>682-56.9</f>
        <v>625.1</v>
      </c>
      <c r="BE57" s="4">
        <v>0</v>
      </c>
      <c r="BF57" s="4">
        <v>409</v>
      </c>
      <c r="BG57" s="4">
        <v>770</v>
      </c>
      <c r="BH57" s="4">
        <v>41</v>
      </c>
      <c r="BI57" s="4">
        <f>490-46.4</f>
        <v>443.6</v>
      </c>
    </row>
    <row r="58" spans="1:61" ht="15.75" customHeight="1">
      <c r="A58" s="3" t="s">
        <v>32</v>
      </c>
      <c r="B58" s="4">
        <v>8</v>
      </c>
      <c r="C58" s="4">
        <v>464</v>
      </c>
      <c r="D58" s="4">
        <v>76</v>
      </c>
      <c r="E58" s="4">
        <f>436-56.9</f>
        <v>379.1</v>
      </c>
      <c r="F58" s="4">
        <f>1119-(100+56.2)</f>
        <v>962.8</v>
      </c>
      <c r="G58" s="4">
        <v>1005</v>
      </c>
      <c r="H58" s="4">
        <v>19</v>
      </c>
      <c r="I58" s="4">
        <f>97.1-(5.1+32.5)</f>
        <v>59.49999999999999</v>
      </c>
      <c r="J58" s="4">
        <v>110</v>
      </c>
      <c r="K58" s="4">
        <f>103-(32.5+5.1)</f>
        <v>65.4</v>
      </c>
      <c r="L58" s="4">
        <v>850</v>
      </c>
      <c r="M58" s="4">
        <v>744</v>
      </c>
      <c r="N58" s="4">
        <v>1193</v>
      </c>
      <c r="O58" s="4">
        <f>103-(32.5+5.1)</f>
        <v>65.4</v>
      </c>
      <c r="P58" s="4">
        <v>1225</v>
      </c>
      <c r="Q58" s="4">
        <f>56.3-19.2</f>
        <v>37.099999999999994</v>
      </c>
      <c r="R58" s="4">
        <v>720</v>
      </c>
      <c r="S58" s="4">
        <v>530</v>
      </c>
      <c r="T58" s="4">
        <v>1230</v>
      </c>
      <c r="U58" s="4">
        <v>160</v>
      </c>
      <c r="V58" s="4">
        <v>3625</v>
      </c>
      <c r="W58" s="4">
        <v>839</v>
      </c>
      <c r="X58" s="4">
        <v>397</v>
      </c>
      <c r="Y58" s="4">
        <v>636</v>
      </c>
      <c r="Z58" s="4">
        <v>66</v>
      </c>
      <c r="AA58" s="4">
        <v>262</v>
      </c>
      <c r="AB58" s="4">
        <v>21</v>
      </c>
      <c r="AC58" s="4">
        <v>51.8</v>
      </c>
      <c r="AD58" s="4">
        <f>1803-194</f>
        <v>1609</v>
      </c>
      <c r="AE58" s="4">
        <v>972</v>
      </c>
      <c r="AF58" s="4">
        <f>89-56.9</f>
        <v>32.1</v>
      </c>
      <c r="AG58" s="4">
        <v>667</v>
      </c>
      <c r="AH58" s="4">
        <f>240-56.9</f>
        <v>183.1</v>
      </c>
      <c r="AI58" s="4">
        <f>200-56.9</f>
        <v>143.1</v>
      </c>
      <c r="AJ58" s="4">
        <v>405</v>
      </c>
      <c r="AK58" s="4">
        <v>555</v>
      </c>
      <c r="AL58" s="4">
        <v>49</v>
      </c>
      <c r="AM58" s="4">
        <v>426</v>
      </c>
      <c r="AN58" s="4">
        <v>789</v>
      </c>
      <c r="AO58" s="4">
        <f>436-56.9</f>
        <v>379.1</v>
      </c>
      <c r="AP58" s="4">
        <f>179-(18.1+19.2)</f>
        <v>141.7</v>
      </c>
      <c r="AQ58" s="4">
        <f>1705-194</f>
        <v>1511</v>
      </c>
      <c r="AR58" s="4">
        <v>669</v>
      </c>
      <c r="AS58" s="4">
        <v>572</v>
      </c>
      <c r="AT58" s="4">
        <v>14</v>
      </c>
      <c r="AU58" s="4">
        <v>361</v>
      </c>
      <c r="AV58" s="4">
        <v>469</v>
      </c>
      <c r="AW58" s="4">
        <f>84.6-32.5</f>
        <v>52.099999999999994</v>
      </c>
      <c r="AX58" s="4">
        <f>76.3-19.2</f>
        <v>57.099999999999994</v>
      </c>
      <c r="AY58" s="4">
        <f>167-46.4</f>
        <v>120.6</v>
      </c>
      <c r="AZ58" s="4">
        <v>75.2</v>
      </c>
      <c r="BA58" s="4">
        <v>38</v>
      </c>
      <c r="BB58" s="4">
        <v>1154</v>
      </c>
      <c r="BC58" s="4">
        <v>1357</v>
      </c>
      <c r="BD58" s="4">
        <f>292-56.9</f>
        <v>235.1</v>
      </c>
      <c r="BE58" s="4">
        <v>409</v>
      </c>
      <c r="BF58" s="4">
        <v>0</v>
      </c>
      <c r="BG58" s="4">
        <v>882</v>
      </c>
      <c r="BH58" s="4">
        <v>445</v>
      </c>
      <c r="BI58" s="4">
        <f>114-46.4</f>
        <v>67.6</v>
      </c>
    </row>
    <row r="59" spans="1:61" ht="15">
      <c r="A59" s="3" t="s">
        <v>33</v>
      </c>
      <c r="B59" s="4">
        <v>874</v>
      </c>
      <c r="C59" s="4">
        <v>419</v>
      </c>
      <c r="D59" s="4">
        <v>807</v>
      </c>
      <c r="E59" s="4">
        <f>1300-56.9</f>
        <v>1243.1</v>
      </c>
      <c r="F59" s="4">
        <f>947-(100+56.2)</f>
        <v>790.8</v>
      </c>
      <c r="G59" s="4">
        <v>784</v>
      </c>
      <c r="H59" s="4">
        <v>868</v>
      </c>
      <c r="I59" s="4">
        <f>947-(5.1+32.5)</f>
        <v>909.4</v>
      </c>
      <c r="J59" s="4">
        <v>778</v>
      </c>
      <c r="K59" s="4">
        <f>953-(5.1+32.5)</f>
        <v>915.4</v>
      </c>
      <c r="L59" s="4">
        <v>974</v>
      </c>
      <c r="M59" s="4">
        <v>1080</v>
      </c>
      <c r="N59" s="4">
        <v>503</v>
      </c>
      <c r="O59" s="4">
        <f>953-(5.1+32.5)</f>
        <v>915.4</v>
      </c>
      <c r="P59" s="4">
        <v>535</v>
      </c>
      <c r="Q59" s="4">
        <f>921-19.2</f>
        <v>901.8</v>
      </c>
      <c r="R59" s="4">
        <v>779</v>
      </c>
      <c r="S59" s="4">
        <v>976</v>
      </c>
      <c r="T59" s="4">
        <v>346</v>
      </c>
      <c r="U59" s="4">
        <v>724</v>
      </c>
      <c r="V59" s="4">
        <v>2741</v>
      </c>
      <c r="W59" s="4">
        <v>848</v>
      </c>
      <c r="X59" s="4">
        <v>773</v>
      </c>
      <c r="Y59" s="4">
        <v>1083</v>
      </c>
      <c r="Z59" s="4">
        <v>837</v>
      </c>
      <c r="AA59" s="4">
        <v>597</v>
      </c>
      <c r="AB59" s="4">
        <v>877</v>
      </c>
      <c r="AC59" s="4">
        <v>826</v>
      </c>
      <c r="AD59" s="4">
        <f>920-194</f>
        <v>726</v>
      </c>
      <c r="AE59" s="4">
        <v>282</v>
      </c>
      <c r="AF59" s="4">
        <f>955-56.9</f>
        <v>898.1</v>
      </c>
      <c r="AG59" s="4">
        <v>1070</v>
      </c>
      <c r="AH59" s="4">
        <f>1037-56.9</f>
        <v>980.1</v>
      </c>
      <c r="AI59" s="4">
        <f>997-56.9</f>
        <v>940.1</v>
      </c>
      <c r="AJ59" s="4">
        <v>849</v>
      </c>
      <c r="AK59" s="4">
        <v>333</v>
      </c>
      <c r="AL59" s="4">
        <v>846</v>
      </c>
      <c r="AM59" s="4">
        <v>802</v>
      </c>
      <c r="AN59" s="4">
        <v>98.9</v>
      </c>
      <c r="AO59" s="4">
        <f>1300-56.9</f>
        <v>1243.1</v>
      </c>
      <c r="AP59" s="4">
        <f>977-(18.1+19.2)</f>
        <v>939.7</v>
      </c>
      <c r="AQ59" s="4">
        <f>823-194</f>
        <v>629</v>
      </c>
      <c r="AR59" s="4">
        <v>215</v>
      </c>
      <c r="AS59" s="4">
        <v>826</v>
      </c>
      <c r="AT59" s="4">
        <v>884</v>
      </c>
      <c r="AU59" s="4">
        <v>614</v>
      </c>
      <c r="AV59" s="4">
        <v>722</v>
      </c>
      <c r="AW59" s="4">
        <f>935-32.5</f>
        <v>902.5</v>
      </c>
      <c r="AX59" s="4">
        <f>941-19.2</f>
        <v>921.8</v>
      </c>
      <c r="AY59" s="4">
        <f>998-46.4</f>
        <v>951.6</v>
      </c>
      <c r="AZ59" s="4">
        <v>784</v>
      </c>
      <c r="BA59" s="4">
        <v>851</v>
      </c>
      <c r="BB59" s="4">
        <v>271</v>
      </c>
      <c r="BC59" s="4">
        <v>475</v>
      </c>
      <c r="BD59" s="4">
        <f>1089-56.9</f>
        <v>1032.1</v>
      </c>
      <c r="BE59" s="4">
        <v>770</v>
      </c>
      <c r="BF59" s="4">
        <v>882</v>
      </c>
      <c r="BG59" s="4">
        <v>0</v>
      </c>
      <c r="BH59" s="4">
        <v>730</v>
      </c>
      <c r="BI59" s="4">
        <f>964-46.4</f>
        <v>917.6</v>
      </c>
    </row>
    <row r="60" spans="1:61" ht="15">
      <c r="A60" s="3" t="s">
        <v>44</v>
      </c>
      <c r="B60" s="4">
        <v>437</v>
      </c>
      <c r="C60" s="4">
        <v>312</v>
      </c>
      <c r="D60" s="4">
        <v>370</v>
      </c>
      <c r="E60" s="4">
        <f>863-56.9</f>
        <v>806.1</v>
      </c>
      <c r="F60" s="4">
        <f>967-(100+56.2)</f>
        <v>810.8</v>
      </c>
      <c r="G60" s="4">
        <v>853</v>
      </c>
      <c r="H60" s="4">
        <v>431</v>
      </c>
      <c r="I60" s="4">
        <f>510-(5.1+32.5)</f>
        <v>472.4</v>
      </c>
      <c r="J60" s="4">
        <v>341</v>
      </c>
      <c r="K60" s="4">
        <f>516-(32.5+5.1)</f>
        <v>478.4</v>
      </c>
      <c r="L60" s="4">
        <v>542</v>
      </c>
      <c r="M60" s="4">
        <v>460</v>
      </c>
      <c r="N60" s="4">
        <v>1042</v>
      </c>
      <c r="O60" s="4">
        <f>516-(32.5+5.1)</f>
        <v>478.4</v>
      </c>
      <c r="P60" s="4">
        <v>1074</v>
      </c>
      <c r="Q60" s="4">
        <f>484-19.2</f>
        <v>464.8</v>
      </c>
      <c r="R60" s="4">
        <v>296</v>
      </c>
      <c r="S60" s="4">
        <v>246</v>
      </c>
      <c r="T60" s="4">
        <v>1078</v>
      </c>
      <c r="U60" s="4">
        <v>288</v>
      </c>
      <c r="V60" s="4">
        <f>3473</f>
        <v>3473</v>
      </c>
      <c r="W60" s="4">
        <v>415</v>
      </c>
      <c r="X60" s="4">
        <v>50</v>
      </c>
      <c r="Y60" s="4">
        <v>354</v>
      </c>
      <c r="Z60" s="4">
        <v>400</v>
      </c>
      <c r="AA60" s="4">
        <v>288</v>
      </c>
      <c r="AB60" s="4">
        <v>440</v>
      </c>
      <c r="AC60" s="4">
        <v>404</v>
      </c>
      <c r="AD60" s="4">
        <f>1650-194</f>
        <v>1456</v>
      </c>
      <c r="AE60" s="4">
        <v>818</v>
      </c>
      <c r="AF60" s="4">
        <f>518-56.9</f>
        <v>461.1</v>
      </c>
      <c r="AG60" s="4">
        <v>339</v>
      </c>
      <c r="AH60" s="4">
        <f>668-56.9</f>
        <v>611.1</v>
      </c>
      <c r="AI60" s="4">
        <f>627-56.9</f>
        <v>570.1</v>
      </c>
      <c r="AJ60" s="4">
        <v>172</v>
      </c>
      <c r="AK60" s="4">
        <v>402</v>
      </c>
      <c r="AL60" s="4">
        <v>408</v>
      </c>
      <c r="AM60" s="4">
        <v>114</v>
      </c>
      <c r="AN60" s="4">
        <v>637</v>
      </c>
      <c r="AO60" s="4">
        <f>863-56.9</f>
        <v>806.1</v>
      </c>
      <c r="AP60" s="4">
        <f>607-(18.1+19.2)</f>
        <v>569.7</v>
      </c>
      <c r="AQ60" s="4">
        <f>1553-194</f>
        <v>1359</v>
      </c>
      <c r="AR60" s="4">
        <v>517</v>
      </c>
      <c r="AS60" s="4">
        <v>148</v>
      </c>
      <c r="AT60" s="4">
        <v>447</v>
      </c>
      <c r="AU60" s="4">
        <v>119</v>
      </c>
      <c r="AV60" s="4">
        <v>61.6</v>
      </c>
      <c r="AW60" s="4">
        <f>498-32.5</f>
        <v>465.5</v>
      </c>
      <c r="AX60" s="4">
        <f>504-19.2</f>
        <v>484.8</v>
      </c>
      <c r="AY60" s="4">
        <f>561-46.4</f>
        <v>514.6</v>
      </c>
      <c r="AZ60" s="4">
        <v>501</v>
      </c>
      <c r="BA60" s="4">
        <v>414</v>
      </c>
      <c r="BB60" s="4">
        <v>1002</v>
      </c>
      <c r="BC60" s="4">
        <v>1207</v>
      </c>
      <c r="BD60" s="4">
        <f>720-56.9</f>
        <v>663.1</v>
      </c>
      <c r="BE60" s="4">
        <v>41</v>
      </c>
      <c r="BF60" s="4">
        <v>445</v>
      </c>
      <c r="BG60" s="4">
        <v>730</v>
      </c>
      <c r="BH60" s="4">
        <v>0</v>
      </c>
      <c r="BI60" s="4">
        <f>527-46.4</f>
        <v>480.6</v>
      </c>
    </row>
    <row r="61" spans="1:61" ht="15">
      <c r="A61" s="3" t="s">
        <v>43</v>
      </c>
      <c r="B61" s="4">
        <f>109-46.4</f>
        <v>62.6</v>
      </c>
      <c r="C61" s="4">
        <v>543</v>
      </c>
      <c r="D61" s="4">
        <f>157-46.4</f>
        <v>110.6</v>
      </c>
      <c r="E61" s="4">
        <v>454</v>
      </c>
      <c r="F61" s="4">
        <f>1199-(100+56.2+46.4)</f>
        <v>996.4</v>
      </c>
      <c r="G61" s="4">
        <f>1037-46.4</f>
        <v>990.6</v>
      </c>
      <c r="H61" s="4">
        <f>113-46.4</f>
        <v>66.6</v>
      </c>
      <c r="I61" s="4">
        <v>74.3</v>
      </c>
      <c r="J61" s="4">
        <f>190-46.4</f>
        <v>143.6</v>
      </c>
      <c r="K61" s="4">
        <v>57</v>
      </c>
      <c r="L61" s="4">
        <f>929-46.4</f>
        <v>882.6</v>
      </c>
      <c r="M61" s="4">
        <f>823-46.4</f>
        <v>776.6</v>
      </c>
      <c r="N61" s="4">
        <f>1274-46.4</f>
        <v>1227.6</v>
      </c>
      <c r="O61" s="4">
        <v>57</v>
      </c>
      <c r="P61" s="4">
        <f>1306-46.4</f>
        <v>1259.6</v>
      </c>
      <c r="Q61" s="4">
        <f>191-(19.2+56.9)</f>
        <v>114.9</v>
      </c>
      <c r="R61" s="4">
        <f>799-46.4</f>
        <v>752.6</v>
      </c>
      <c r="S61" s="4">
        <f>609-46.4</f>
        <v>562.6</v>
      </c>
      <c r="T61" s="4">
        <f>1309-46.4</f>
        <v>1262.6</v>
      </c>
      <c r="U61" s="4">
        <f>239-46.4</f>
        <v>192.6</v>
      </c>
      <c r="V61" s="4">
        <f>3705-46.4</f>
        <v>3658.6</v>
      </c>
      <c r="W61" s="4">
        <f>919-46.4</f>
        <v>872.6</v>
      </c>
      <c r="X61" s="4">
        <f>477-46.4</f>
        <v>430.6</v>
      </c>
      <c r="Y61" s="4">
        <f>716-46.4</f>
        <v>669.6</v>
      </c>
      <c r="Z61" s="4">
        <f>130-46.4</f>
        <v>83.6</v>
      </c>
      <c r="AA61" s="4">
        <f>411-46.4</f>
        <v>364.6</v>
      </c>
      <c r="AB61" s="4">
        <f>124-46.4</f>
        <v>77.6</v>
      </c>
      <c r="AC61" s="4">
        <f>135-46.4</f>
        <v>88.6</v>
      </c>
      <c r="AD61" s="4">
        <f>1882-(194+46.4)</f>
        <v>1641.6</v>
      </c>
      <c r="AE61" s="4">
        <v>1008</v>
      </c>
      <c r="AF61" s="4">
        <v>111</v>
      </c>
      <c r="AG61" s="4">
        <f>747-46.4</f>
        <v>700.6</v>
      </c>
      <c r="AH61" s="4">
        <v>259</v>
      </c>
      <c r="AI61" s="4">
        <v>218</v>
      </c>
      <c r="AJ61" s="4">
        <f>485-46.4</f>
        <v>438.6</v>
      </c>
      <c r="AK61" s="4">
        <v>591</v>
      </c>
      <c r="AL61" s="4">
        <f>113-46.4</f>
        <v>66.6</v>
      </c>
      <c r="AM61" s="4">
        <f>506-46.4</f>
        <v>459.6</v>
      </c>
      <c r="AN61" s="4">
        <f>870-46.4</f>
        <v>823.6</v>
      </c>
      <c r="AO61" s="4">
        <v>454</v>
      </c>
      <c r="AP61" s="4">
        <f>255-30.2</f>
        <v>224.8</v>
      </c>
      <c r="AQ61" s="4">
        <f>1785-(194+46.4)</f>
        <v>1544.6</v>
      </c>
      <c r="AR61" s="4">
        <f>749-46.4</f>
        <v>702.6</v>
      </c>
      <c r="AS61" s="4">
        <f>652-46.4</f>
        <v>605.6</v>
      </c>
      <c r="AT61" s="4">
        <f>103-46.4</f>
        <v>56.6</v>
      </c>
      <c r="AU61" s="4">
        <f>440-46.4</f>
        <v>393.6</v>
      </c>
      <c r="AV61" s="4">
        <f>549-46.4</f>
        <v>502.6</v>
      </c>
      <c r="AW61" s="4">
        <f>50.2-32.5</f>
        <v>17.700000000000003</v>
      </c>
      <c r="AX61" s="4">
        <f>211-(19.2+56.9)</f>
        <v>134.9</v>
      </c>
      <c r="AY61" s="4">
        <v>30.9</v>
      </c>
      <c r="AZ61" s="4">
        <f>185-46.4</f>
        <v>138.6</v>
      </c>
      <c r="BA61" s="4">
        <f>112-46.4</f>
        <v>65.6</v>
      </c>
      <c r="BB61" s="4">
        <v>1190</v>
      </c>
      <c r="BC61" s="4">
        <f>1438-46.4</f>
        <v>1391.6</v>
      </c>
      <c r="BD61" s="4">
        <f>311-56.9</f>
        <v>254.1</v>
      </c>
      <c r="BE61" s="4">
        <f>489-46.4</f>
        <v>442.6</v>
      </c>
      <c r="BF61" s="4">
        <f>113-46.4</f>
        <v>66.6</v>
      </c>
      <c r="BG61" s="4">
        <f>963-46.4</f>
        <v>916.6</v>
      </c>
      <c r="BH61" s="4">
        <f>526-46.4</f>
        <v>479.6</v>
      </c>
      <c r="BI61" s="4">
        <v>10</v>
      </c>
    </row>
  </sheetData>
  <sheetProtection algorithmName="SHA-512" hashValue="xTsFlX1XGR2o5Sf7Q8viwdzo3l/+SeavoQtN+Ujv/t1c2PyhP46ckH5rua0/v3EqY6YojzZp9c80c3gyY398ew==" saltValue="/rMBCu/Dt0Mec3DRFEbJ7g==" spinCount="100000" sheet="1" objects="1" scenarios="1"/>
  <printOptions/>
  <pageMargins left="0.25" right="0.25" top="0.75" bottom="0.75" header="0.3" footer="0.3"/>
  <pageSetup fitToHeight="1" fitToWidth="1" horizontalDpi="600" verticalDpi="600" orientation="landscape" scale="2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A7E33262B3B04E82780F33AB5959D3" ma:contentTypeVersion="11" ma:contentTypeDescription="Create a new document." ma:contentTypeScope="" ma:versionID="0b4338437d721b1ca92da4e8b8facfbd">
  <xsd:schema xmlns:xsd="http://www.w3.org/2001/XMLSchema" xmlns:xs="http://www.w3.org/2001/XMLSchema" xmlns:p="http://schemas.microsoft.com/office/2006/metadata/properties" xmlns:ns3="cd9dbf51-9a7a-48f3-a5c5-8da5890506af" xmlns:ns4="113847b0-aaf5-4ae6-be53-137392fb5fab" targetNamespace="http://schemas.microsoft.com/office/2006/metadata/properties" ma:root="true" ma:fieldsID="d3c47014beea78cccd96f6a188b4080c" ns3:_="" ns4:_="">
    <xsd:import namespace="cd9dbf51-9a7a-48f3-a5c5-8da5890506af"/>
    <xsd:import namespace="113847b0-aaf5-4ae6-be53-137392fb5f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dbf51-9a7a-48f3-a5c5-8da5890506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3847b0-aaf5-4ae6-be53-137392fb5fa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468EF8-644C-4AC1-B5DC-37D96CEE0C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2ECF72-7496-4BFA-A3BF-454C0E8B02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9dbf51-9a7a-48f3-a5c5-8da5890506af"/>
    <ds:schemaRef ds:uri="113847b0-aaf5-4ae6-be53-137392fb5f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519351-49EE-4DC1-9163-349FCD0A3F40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cd9dbf51-9a7a-48f3-a5c5-8da5890506af"/>
    <ds:schemaRef ds:uri="113847b0-aaf5-4ae6-be53-137392fb5fab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Luyi</dc:creator>
  <cp:keywords/>
  <dc:description/>
  <cp:lastModifiedBy>Groden, Karen</cp:lastModifiedBy>
  <cp:lastPrinted>2020-03-03T18:24:14Z</cp:lastPrinted>
  <dcterms:created xsi:type="dcterms:W3CDTF">2020-03-02T20:03:19Z</dcterms:created>
  <dcterms:modified xsi:type="dcterms:W3CDTF">2023-11-10T19:57:45Z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0x010100B7A7E33262B3B04E82780F33AB5959D3</vt:lpwstr>
  </property>
</Properties>
</file>